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rayssinet\Desktop\Marché AMO\9 Pièces du marché 2\2024-10-01 DCE OFFRE ALLOTI V2\20240923_PLCO_MPGPEP_LOT1-2_ANNEXES\2 - Données énergétiques\"/>
    </mc:Choice>
  </mc:AlternateContent>
  <xr:revisionPtr revIDLastSave="0" documentId="13_ncr:1_{81F4E4E4-6712-40C5-A231-D1AC2742EB37}" xr6:coauthVersionLast="47" xr6:coauthVersionMax="47" xr10:uidLastSave="{00000000-0000-0000-0000-000000000000}"/>
  <bookViews>
    <workbookView xWindow="-110" yWindow="-110" windowWidth="19420" windowHeight="10420" tabRatio="695" xr2:uid="{00000000-000D-0000-FFFF-FFFF00000000}"/>
  </bookViews>
  <sheets>
    <sheet name="Compte global 2024" sheetId="9" r:id="rId1"/>
    <sheet name="Compte global 2023" sheetId="5" r:id="rId2"/>
    <sheet name="Compte global 2022" sheetId="1" r:id="rId3"/>
    <sheet name="Compte global 2021" sheetId="7" r:id="rId4"/>
    <sheet name="Compte global 2020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5" l="1"/>
  <c r="Q8" i="5"/>
  <c r="Q6" i="5"/>
  <c r="Q7" i="5"/>
  <c r="Q5" i="5"/>
  <c r="P10" i="5"/>
  <c r="Q10" i="5" s="1"/>
  <c r="AD10" i="9" l="1"/>
  <c r="Q10" i="9"/>
  <c r="AD9" i="9"/>
  <c r="Q9" i="9"/>
  <c r="AD8" i="9"/>
  <c r="Q8" i="9"/>
  <c r="AD7" i="9"/>
  <c r="Q7" i="9"/>
  <c r="AD6" i="9"/>
  <c r="Q6" i="9"/>
  <c r="AD5" i="9"/>
  <c r="Q5" i="9"/>
  <c r="AC4" i="5"/>
  <c r="P4" i="5"/>
  <c r="AE9" i="9" l="1"/>
  <c r="AE10" i="9"/>
  <c r="AE6" i="9"/>
  <c r="AE7" i="9"/>
  <c r="AE8" i="9"/>
  <c r="AE5" i="9"/>
  <c r="Q4" i="9"/>
  <c r="AD4" i="9"/>
  <c r="Q2" i="9" l="1"/>
  <c r="AE4" i="9"/>
  <c r="AD2" i="9"/>
  <c r="AC10" i="5"/>
  <c r="AE2" i="9" l="1"/>
  <c r="Y4" i="5"/>
  <c r="L4" i="5"/>
  <c r="AB4" i="5" l="1"/>
  <c r="O4" i="5"/>
  <c r="AA4" i="5" l="1"/>
  <c r="N4" i="5"/>
  <c r="W4" i="5" l="1"/>
  <c r="J4" i="5"/>
  <c r="E9" i="8" l="1"/>
  <c r="E6" i="8"/>
  <c r="E5" i="8"/>
  <c r="E8" i="8" l="1"/>
  <c r="E10" i="8"/>
  <c r="E7" i="8"/>
  <c r="E11" i="8"/>
  <c r="D2" i="8"/>
  <c r="E4" i="8"/>
  <c r="C2" i="8"/>
  <c r="E2" i="8" l="1"/>
  <c r="E4" i="1" l="1"/>
  <c r="S4" i="1"/>
  <c r="N4" i="7"/>
  <c r="AA4" i="7"/>
  <c r="AB11" i="7" l="1"/>
  <c r="O11" i="7"/>
  <c r="AB10" i="7"/>
  <c r="O10" i="7"/>
  <c r="AB9" i="7"/>
  <c r="O9" i="7"/>
  <c r="AB8" i="7"/>
  <c r="O8" i="7"/>
  <c r="AB7" i="7"/>
  <c r="O7" i="7"/>
  <c r="AB6" i="7"/>
  <c r="O6" i="7"/>
  <c r="AB5" i="7"/>
  <c r="O5" i="7"/>
  <c r="AB4" i="7"/>
  <c r="O4" i="7"/>
  <c r="AB2" i="7" l="1"/>
  <c r="AC5" i="7"/>
  <c r="AC9" i="7"/>
  <c r="AC8" i="7"/>
  <c r="AC6" i="7"/>
  <c r="AC7" i="7"/>
  <c r="AC4" i="7"/>
  <c r="O2" i="7"/>
  <c r="AC11" i="7"/>
  <c r="AC10" i="7"/>
  <c r="AC2" i="7" l="1"/>
  <c r="F4" i="5" l="1"/>
  <c r="Q4" i="5" s="1"/>
  <c r="AD10" i="5"/>
  <c r="AD9" i="5"/>
  <c r="AD8" i="5"/>
  <c r="AD7" i="5"/>
  <c r="AD6" i="5"/>
  <c r="AD5" i="5"/>
  <c r="AD4" i="5"/>
  <c r="AD20" i="5" l="1"/>
  <c r="AE8" i="5"/>
  <c r="AE10" i="5"/>
  <c r="AE5" i="5"/>
  <c r="AD2" i="5"/>
  <c r="AE9" i="5"/>
  <c r="AE4" i="5" l="1"/>
  <c r="J4" i="1" l="1"/>
  <c r="AD4" i="1"/>
  <c r="AD5" i="1"/>
  <c r="AD6" i="1"/>
  <c r="AD7" i="1"/>
  <c r="AD8" i="1"/>
  <c r="AD9" i="1"/>
  <c r="AD10" i="1"/>
  <c r="AD11" i="1"/>
  <c r="Q11" i="1"/>
  <c r="Q7" i="1"/>
  <c r="Q8" i="1"/>
  <c r="Q9" i="1"/>
  <c r="Q10" i="1"/>
  <c r="Q6" i="1"/>
  <c r="Q5" i="1"/>
  <c r="Q4" i="1" l="1"/>
  <c r="AE4" i="1" s="1"/>
  <c r="AE5" i="1"/>
  <c r="AE8" i="1"/>
  <c r="AE7" i="1"/>
  <c r="AE10" i="1"/>
  <c r="AE11" i="1"/>
  <c r="AE9" i="1"/>
  <c r="AE6" i="1"/>
  <c r="AD2" i="1"/>
  <c r="Q2" i="1" l="1"/>
  <c r="AE2" i="1" s="1"/>
  <c r="AE7" i="5" l="1"/>
  <c r="AE6" i="5" l="1"/>
  <c r="Q2" i="5"/>
  <c r="AE2" i="5" l="1"/>
</calcChain>
</file>

<file path=xl/sharedStrings.xml><?xml version="1.0" encoding="utf-8"?>
<sst xmlns="http://schemas.openxmlformats.org/spreadsheetml/2006/main" count="255" uniqueCount="51">
  <si>
    <t>Fournisseur</t>
  </si>
  <si>
    <t>Domaine</t>
  </si>
  <si>
    <t>Sous-groupe</t>
  </si>
  <si>
    <t>Conso-1</t>
  </si>
  <si>
    <t>Conso-2</t>
  </si>
  <si>
    <t>Conso-3</t>
  </si>
  <si>
    <t>Conso-4</t>
  </si>
  <si>
    <t>Conso-5</t>
  </si>
  <si>
    <t>Conso-6</t>
  </si>
  <si>
    <t>Conso-7</t>
  </si>
  <si>
    <t>Conso-8</t>
  </si>
  <si>
    <t>Conso-9</t>
  </si>
  <si>
    <t>Conso-10</t>
  </si>
  <si>
    <t>Conso-11</t>
  </si>
  <si>
    <t>Conso-12</t>
  </si>
  <si>
    <t>€TTC-1</t>
  </si>
  <si>
    <t>€TTC-2</t>
  </si>
  <si>
    <t>€TTC-3</t>
  </si>
  <si>
    <t>€TTC-4</t>
  </si>
  <si>
    <t>€TTC-5</t>
  </si>
  <si>
    <t>€TTC-6</t>
  </si>
  <si>
    <t>€TTC-7</t>
  </si>
  <si>
    <t>€TTC-8</t>
  </si>
  <si>
    <t>€TTC-9</t>
  </si>
  <si>
    <t>€TTC-10</t>
  </si>
  <si>
    <t>€TTC-11</t>
  </si>
  <si>
    <t>€TTC-12</t>
  </si>
  <si>
    <t>TOTAL TTC</t>
  </si>
  <si>
    <t>TOTAL CONSO</t>
  </si>
  <si>
    <t>€/kWh</t>
  </si>
  <si>
    <t>EDF</t>
  </si>
  <si>
    <t>Marché</t>
  </si>
  <si>
    <t>20-00025</t>
  </si>
  <si>
    <t>EP</t>
  </si>
  <si>
    <t>EP inf36</t>
  </si>
  <si>
    <t>22-00020</t>
  </si>
  <si>
    <t>Engie</t>
  </si>
  <si>
    <t>Candela</t>
  </si>
  <si>
    <t>EP sup36</t>
  </si>
  <si>
    <t xml:space="preserve">22-00019 </t>
  </si>
  <si>
    <t>TOTAL ANNUEL</t>
  </si>
  <si>
    <t>Commentaire</t>
  </si>
  <si>
    <t>Epiclair</t>
  </si>
  <si>
    <t>Dieumegard</t>
  </si>
  <si>
    <t>Mobiles</t>
  </si>
  <si>
    <t>Rateau</t>
  </si>
  <si>
    <t>Poste résilié depuis (passage BT)</t>
  </si>
  <si>
    <r>
      <t xml:space="preserve">TOTAL TTC </t>
    </r>
    <r>
      <rPr>
        <sz val="11"/>
        <color rgb="FFFF0000"/>
        <rFont val="Calibri"/>
        <family val="2"/>
        <scheme val="minor"/>
      </rPr>
      <t>+ rattrapage amortisseur tarifaire sur les PDL&gt;36</t>
    </r>
  </si>
  <si>
    <t>Finalisation passage de HT vers BT à La Courneuve</t>
  </si>
  <si>
    <t>Bougie</t>
  </si>
  <si>
    <t>TOTAL à août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</si>
</sst>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-2]\ #,##0;[Red]\-[$€-2]\ #,##0"/>
    <numFmt numFmtId="166" formatCode="_-* #,##0\ &quot;€&quot;_-;\-* #,##0\ &quot;€&quot;_-;_-* &quot;-&quot;??\ &quot;€&quot;_-;_-@_-"/>
    <numFmt numFmtId="167" formatCode="_-* #,##0.00\ [$€]_-;\-* #,##0.00\ [$€]_-;_-* &quot;-&quot;??\ [$€]_-;_-@_-"/>
    <numFmt numFmtId="168" formatCode="_(&quot;$&quot;* #,##0.00_);_(&quot;$&quot;* \(#,##0.00\);_(&quot;$&quot;* &quot;-&quot;??_);_(@_)"/>
    <numFmt numFmtId="169" formatCode="_(* #,##0.00_);_(* \(#,##0.00\);_(* &quot;-&quot;??_);_(@_)"/>
    <numFmt numFmtId="172" formatCode="_-* #,##0.000\ _€_-;\-* #,##0.000\ _€_-;_-* &quot;-&quot;???\ _€_-;_-@_-"/>
    <numFmt numFmtId="173" formatCode="#,##0.000"/>
    <numFmt numFmtId="174" formatCode="_-* #,##0\ _€_-;\-* #,##0\ _€_-;_-* &quot;-&quot;??\ _€_-;_-@_-"/>
    <numFmt numFmtId="175" formatCode="_-* #,##0.000\ _€_-;\-* #,##0.0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5" fillId="0" borderId="0"/>
    <xf numFmtId="0" fontId="5" fillId="0" borderId="0"/>
    <xf numFmtId="0" fontId="5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/>
  </cellStyleXfs>
  <cellXfs count="39">
    <xf numFmtId="0" fontId="0" fillId="0" borderId="0" xfId="0"/>
    <xf numFmtId="0" fontId="0" fillId="2" borderId="0" xfId="0" applyFill="1" applyAlignment="1">
      <alignment horizontal="center" vertical="center" wrapText="1"/>
    </xf>
    <xf numFmtId="165" fontId="0" fillId="3" borderId="0" xfId="0" applyNumberForma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/>
    <xf numFmtId="166" fontId="0" fillId="0" borderId="0" xfId="2" applyNumberFormat="1" applyFont="1"/>
    <xf numFmtId="0" fontId="0" fillId="0" borderId="0" xfId="0" applyAlignment="1">
      <alignment horizontal="center" vertical="center" wrapText="1"/>
    </xf>
    <xf numFmtId="166" fontId="0" fillId="0" borderId="0" xfId="2" applyNumberFormat="1" applyFont="1" applyFill="1"/>
    <xf numFmtId="164" fontId="0" fillId="0" borderId="0" xfId="1" applyFont="1"/>
    <xf numFmtId="0" fontId="0" fillId="0" borderId="0" xfId="0"/>
    <xf numFmtId="166" fontId="0" fillId="0" borderId="0" xfId="2" applyNumberFormat="1" applyFont="1"/>
    <xf numFmtId="0" fontId="0" fillId="0" borderId="0" xfId="0" applyFill="1"/>
    <xf numFmtId="3" fontId="0" fillId="0" borderId="0" xfId="0" applyNumberFormat="1"/>
    <xf numFmtId="174" fontId="0" fillId="0" borderId="0" xfId="1" applyNumberFormat="1" applyFont="1"/>
    <xf numFmtId="174" fontId="0" fillId="0" borderId="0" xfId="1" applyNumberFormat="1" applyFont="1" applyAlignment="1">
      <alignment wrapText="1"/>
    </xf>
    <xf numFmtId="0" fontId="3" fillId="0" borderId="0" xfId="0" applyFont="1"/>
    <xf numFmtId="3" fontId="3" fillId="0" borderId="0" xfId="0" applyNumberFormat="1" applyFont="1"/>
    <xf numFmtId="172" fontId="6" fillId="0" borderId="0" xfId="1" applyNumberFormat="1" applyFont="1"/>
    <xf numFmtId="0" fontId="6" fillId="4" borderId="0" xfId="0" applyFont="1" applyFill="1" applyAlignment="1">
      <alignment horizontal="center" vertical="center" wrapText="1"/>
    </xf>
    <xf numFmtId="173" fontId="6" fillId="0" borderId="0" xfId="0" applyNumberFormat="1" applyFont="1"/>
    <xf numFmtId="173" fontId="6" fillId="0" borderId="0" xfId="1" applyNumberFormat="1" applyFont="1"/>
    <xf numFmtId="0" fontId="6" fillId="0" borderId="0" xfId="0" applyFont="1"/>
    <xf numFmtId="175" fontId="7" fillId="0" borderId="0" xfId="1" applyNumberFormat="1" applyFont="1"/>
    <xf numFmtId="166" fontId="3" fillId="0" borderId="0" xfId="2" applyNumberFormat="1" applyFont="1"/>
    <xf numFmtId="174" fontId="8" fillId="0" borderId="0" xfId="1" applyNumberFormat="1" applyFont="1"/>
    <xf numFmtId="166" fontId="0" fillId="0" borderId="0" xfId="0" applyNumberFormat="1"/>
    <xf numFmtId="174" fontId="3" fillId="0" borderId="0" xfId="0" applyNumberFormat="1" applyFont="1"/>
    <xf numFmtId="0" fontId="0" fillId="5" borderId="0" xfId="0" applyFill="1" applyAlignment="1">
      <alignment horizontal="center" vertical="center" wrapText="1"/>
    </xf>
    <xf numFmtId="172" fontId="7" fillId="0" borderId="0" xfId="1" applyNumberFormat="1" applyFont="1"/>
    <xf numFmtId="174" fontId="0" fillId="0" borderId="0" xfId="0" applyNumberFormat="1"/>
    <xf numFmtId="8" fontId="1" fillId="0" borderId="0" xfId="2" applyNumberFormat="1" applyFont="1"/>
    <xf numFmtId="0" fontId="9" fillId="0" borderId="0" xfId="0" applyFont="1"/>
  </cellXfs>
  <cellStyles count="21">
    <cellStyle name="Euro" xfId="3" xr:uid="{00000000-0005-0000-0000-000000000000}"/>
    <cellStyle name="Milliers" xfId="1" builtinId="3"/>
    <cellStyle name="Milliers 2" xfId="4" xr:uid="{00000000-0005-0000-0000-000002000000}"/>
    <cellStyle name="Monétaire" xfId="2" builtinId="4"/>
    <cellStyle name="Monétaire 2" xfId="5" xr:uid="{00000000-0005-0000-0000-000004000000}"/>
    <cellStyle name="Normal" xfId="0" builtinId="0"/>
    <cellStyle name="Normal 2" xfId="6" xr:uid="{00000000-0005-0000-0000-000006000000}"/>
    <cellStyle name="Normal 3" xfId="7" xr:uid="{00000000-0005-0000-0000-000007000000}"/>
    <cellStyle name="Normal 3 2" xfId="8" xr:uid="{00000000-0005-0000-0000-000008000000}"/>
    <cellStyle name="Normal 4" xfId="9" xr:uid="{00000000-0005-0000-0000-000009000000}"/>
    <cellStyle name="Normal 4 10" xfId="10" xr:uid="{00000000-0005-0000-0000-00000A000000}"/>
    <cellStyle name="Normal 4 13" xfId="11" xr:uid="{00000000-0005-0000-0000-00000B000000}"/>
    <cellStyle name="Normal 4 2" xfId="12" xr:uid="{00000000-0005-0000-0000-00000C000000}"/>
    <cellStyle name="Normal 4 3" xfId="13" xr:uid="{00000000-0005-0000-0000-00000D000000}"/>
    <cellStyle name="Normal 4 4" xfId="14" xr:uid="{00000000-0005-0000-0000-00000E000000}"/>
    <cellStyle name="Normal 4 5" xfId="15" xr:uid="{00000000-0005-0000-0000-00000F000000}"/>
    <cellStyle name="Normal 4 6" xfId="16" xr:uid="{00000000-0005-0000-0000-000010000000}"/>
    <cellStyle name="Normal 4 7" xfId="17" xr:uid="{00000000-0005-0000-0000-000011000000}"/>
    <cellStyle name="Normal 4 8" xfId="18" xr:uid="{00000000-0005-0000-0000-000012000000}"/>
    <cellStyle name="Normal 5" xfId="19" xr:uid="{00000000-0005-0000-0000-000013000000}"/>
    <cellStyle name="Normal 6" xfId="20" xr:uid="{00000000-0005-0000-0000-000014000000}"/>
  </cellStyles>
  <dxfs count="117">
    <dxf>
      <numFmt numFmtId="166" formatCode="_-* #,##0\ &quot;€&quot;_-;\-* #,##0\ &quot;€&quot;_-;_-* &quot;-&quot;??\ &quot;€&quot;_-;_-@_-"/>
      <fill>
        <patternFill patternType="none">
          <fgColor indexed="64"/>
          <bgColor auto="1"/>
        </patternFill>
      </fill>
    </dxf>
    <dxf>
      <font>
        <i/>
      </font>
      <numFmt numFmtId="173" formatCode="#,##0.000"/>
    </dxf>
    <dxf>
      <numFmt numFmtId="174" formatCode="_-* #,##0\ _€_-;\-* #,##0\ _€_-;_-* &quot;-&quot;??\ _€_-;_-@_-"/>
    </dxf>
    <dxf>
      <numFmt numFmtId="166" formatCode="_-* #,##0\ &quot;€&quot;_-;\-* #,##0\ &quot;€&quot;_-;_-* &quot;-&quot;??\ &quot;€&quot;_-;_-@_-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</dxf>
    <dxf>
      <font>
        <i/>
      </font>
      <numFmt numFmtId="173" formatCode="#,##0.000"/>
    </dxf>
    <dxf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4" formatCode="_-* #,##0\ _€_-;\-* #,##0\ _€_-;_-* &quot;-&quot;??\ _€_-;_-@_-"/>
    </dxf>
    <dxf>
      <numFmt numFmtId="166" formatCode="_-* #,##0\ &quot;€&quot;_-;\-* #,##0\ &quot;€&quot;_-;_-* &quot;-&quot;??\ &quot;€&quot;_-;_-@_-"/>
      <fill>
        <patternFill patternType="none">
          <fgColor indexed="64"/>
          <bgColor auto="1"/>
        </patternFill>
      </fill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</dxf>
    <dxf>
      <numFmt numFmtId="174" formatCode="_-* #,##0\ _€_-;\-* #,##0\ _€_-;_-* &quot;-&quot;??\ _€_-;_-@_-"/>
    </dxf>
    <dxf>
      <font>
        <i/>
      </font>
      <numFmt numFmtId="173" formatCode="#,##0.000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66" formatCode="_-* #,##0\ &quot;€&quot;_-;\-* #,##0\ &quot;€&quot;_-;_-* &quot;-&quot;??\ &quot;€&quot;_-;_-@_-"/>
      <fill>
        <patternFill patternType="none">
          <fgColor indexed="64"/>
          <bgColor auto="1"/>
        </patternFill>
      </fill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</dxf>
    <dxf>
      <font>
        <i/>
      </font>
      <numFmt numFmtId="173" formatCode="#,##0.000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</dxf>
    <dxf>
      <font>
        <i/>
      </font>
      <numFmt numFmtId="173" formatCode="#,##0.000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74" formatCode="_-* #,##0\ _€_-;\-* #,##0\ _€_-;_-* &quot;-&quot;??\ _€_-;_-@_-"/>
    </dxf>
    <dxf>
      <numFmt numFmtId="166" formatCode="_-* #,##0\ &quot;€&quot;_-;\-* #,##0\ &quot;€&quot;_-;_-* &quot;-&quot;??\ &quot;€&quot;_-;_-@_-"/>
      <fill>
        <patternFill patternType="none">
          <fgColor indexed="64"/>
          <bgColor auto="1"/>
        </patternFill>
      </fill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numFmt numFmtId="166" formatCode="_-* #,##0\ &quot;€&quot;_-;\-* #,##0\ &quot;€&quot;_-;_-* &quot;-&quot;??\ &quot;€&quot;_-;_-@_-"/>
    </dxf>
    <dxf>
      <fill>
        <patternFill patternType="solid">
          <fgColor indexed="64"/>
          <bgColor rgb="FF92D05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A366ECF-0E7B-47D0-9203-E56257609ED4}" name="Tableau136" displayName="Tableau136" ref="A3:AE10" totalsRowShown="0" headerRowDxfId="116">
  <autoFilter ref="A3:AE10" xr:uid="{00000000-0009-0000-0100-000002000000}"/>
  <sortState xmlns:xlrd2="http://schemas.microsoft.com/office/spreadsheetml/2017/richdata2" ref="A4:AG13">
    <sortCondition ref="C3:C13"/>
  </sortState>
  <tableColumns count="31">
    <tableColumn id="1" xr3:uid="{7136735D-83B5-4742-B0B0-97FE9F5C205E}" name="Marché"/>
    <tableColumn id="2" xr3:uid="{C5E74796-D4C9-4039-B1FE-8E4D74335B8B}" name="Fournisseur"/>
    <tableColumn id="3" xr3:uid="{C6E79C8B-336C-4394-8600-BC9D0B9C636E}" name="Domaine"/>
    <tableColumn id="5" xr3:uid="{8E54EBE1-E6A2-4DB5-941B-D230E19B2FAA}" name="Sous-groupe"/>
    <tableColumn id="6" xr3:uid="{09B2CE33-C3BD-4C91-BC57-E4ED8B96FD34}" name="€TTC-1" dataDxfId="115" dataCellStyle="Monétaire"/>
    <tableColumn id="7" xr3:uid="{A9D11BA5-9D28-43C9-A466-1D846ED36599}" name="€TTC-2" dataDxfId="114" dataCellStyle="Monétaire"/>
    <tableColumn id="8" xr3:uid="{6303284F-7697-40B3-A7F5-6C6867B165ED}" name="€TTC-3" dataDxfId="113" dataCellStyle="Monétaire"/>
    <tableColumn id="9" xr3:uid="{C34A1471-4633-4FF1-967C-750C20EC1DC1}" name="€TTC-4" dataDxfId="112" dataCellStyle="Monétaire"/>
    <tableColumn id="10" xr3:uid="{D3D0929E-470B-421D-B733-321BC6AD3A60}" name="€TTC-5" dataDxfId="111" dataCellStyle="Monétaire"/>
    <tableColumn id="11" xr3:uid="{82BB7116-BA6C-4C2D-BDF7-BE567F345202}" name="€TTC-6" dataDxfId="110" dataCellStyle="Monétaire"/>
    <tableColumn id="12" xr3:uid="{4619F37D-512D-4696-BFDF-852145DE8181}" name="€TTC-7" dataDxfId="109" dataCellStyle="Monétaire"/>
    <tableColumn id="13" xr3:uid="{AB9F8E79-82A7-4FD0-BA98-C76FAE397329}" name="€TTC-8" dataDxfId="108" dataCellStyle="Monétaire"/>
    <tableColumn id="14" xr3:uid="{5C411C81-7DC7-4BD5-95A1-D7090B625979}" name="€TTC-9" dataDxfId="107" dataCellStyle="Monétaire"/>
    <tableColumn id="15" xr3:uid="{3ADFB8C7-937C-45F0-93E3-26370EE457E3}" name="€TTC-10" dataDxfId="106" dataCellStyle="Monétaire"/>
    <tableColumn id="16" xr3:uid="{BAA549E5-4435-42A9-B0D3-7280B15F82EC}" name="€TTC-11" dataDxfId="105" dataCellStyle="Monétaire"/>
    <tableColumn id="17" xr3:uid="{452C74A8-655B-4A55-A1AC-EA3C4700A6F3}" name="€TTC-12" dataDxfId="104" dataCellStyle="Monétaire"/>
    <tableColumn id="18" xr3:uid="{4F726CD3-F06E-46B1-986D-9C193CA12222}" name="TOTAL TTC" dataDxfId="103" dataCellStyle="Monétaire">
      <calculatedColumnFormula>SUM(Tableau136[[#This Row],[€TTC-1]:[€TTC-12]])</calculatedColumnFormula>
    </tableColumn>
    <tableColumn id="20" xr3:uid="{A7E01B85-BD96-465C-A68C-2ECA2459920D}" name="Conso-1" dataDxfId="102" dataCellStyle="Milliers"/>
    <tableColumn id="21" xr3:uid="{A792F59E-5BC5-49F0-BD15-4FBFDF0B7469}" name="Conso-2" dataDxfId="101" dataCellStyle="Milliers"/>
    <tableColumn id="22" xr3:uid="{E18C86BA-B13D-4887-AF0F-215368584352}" name="Conso-3" dataDxfId="100" dataCellStyle="Milliers"/>
    <tableColumn id="23" xr3:uid="{B8A0675D-587A-480F-9577-D59F31EBFAFD}" name="Conso-4" dataDxfId="99" dataCellStyle="Milliers"/>
    <tableColumn id="24" xr3:uid="{50D74092-A5A0-46A0-9DDA-47B2505EA44E}" name="Conso-5" dataDxfId="98" dataCellStyle="Milliers"/>
    <tableColumn id="25" xr3:uid="{0B6E52CF-A36F-4EED-B8C7-D27ABBC4B930}" name="Conso-6" dataDxfId="97" dataCellStyle="Milliers"/>
    <tableColumn id="26" xr3:uid="{020A6D86-41FC-44D7-A19A-25C778EACE50}" name="Conso-7" dataDxfId="96" dataCellStyle="Milliers"/>
    <tableColumn id="27" xr3:uid="{380777FA-AEAA-418F-9622-1E61D6C89A3B}" name="Conso-8" dataDxfId="95" dataCellStyle="Milliers"/>
    <tableColumn id="28" xr3:uid="{58368A35-D334-4ED0-96DA-C5C19482CEA4}" name="Conso-9" dataDxfId="94" dataCellStyle="Milliers"/>
    <tableColumn id="29" xr3:uid="{21F1591E-BE41-4232-8CD4-BB54C80411BE}" name="Conso-10" dataDxfId="93" dataCellStyle="Milliers"/>
    <tableColumn id="30" xr3:uid="{1BDA0896-860C-47F8-8355-896E9DEEEBBA}" name="Conso-11" dataDxfId="92" dataCellStyle="Milliers"/>
    <tableColumn id="31" xr3:uid="{0D42B46B-3CCE-4B4C-8AD3-0097012DE010}" name="Conso-12" dataDxfId="91" dataCellStyle="Milliers"/>
    <tableColumn id="32" xr3:uid="{223C0811-7DDE-4ED8-9E0F-69B8173406D1}" name="TOTAL CONSO" dataDxfId="90" dataCellStyle="Milliers">
      <calculatedColumnFormula>SUM(Tableau136[[#This Row],[Conso-1]:[Conso-12]])</calculatedColumnFormula>
    </tableColumn>
    <tableColumn id="34" xr3:uid="{2E560FF7-7614-4A5E-AF32-7AB95DB13DB8}" name="€/kWh" dataDxfId="89">
      <calculatedColumnFormula>IFERROR(Tableau136[[#This Row],[TOTAL TTC]]/Tableau136[[#This Row],[TOTAL CONSO]],"")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13" displayName="Tableau13" ref="A3:AE10" totalsRowShown="0" headerRowDxfId="88">
  <autoFilter ref="A3:AE10" xr:uid="{00000000-0009-0000-0100-000002000000}"/>
  <sortState xmlns:xlrd2="http://schemas.microsoft.com/office/spreadsheetml/2017/richdata2" ref="A4:AG13">
    <sortCondition ref="C3:C13"/>
  </sortState>
  <tableColumns count="31">
    <tableColumn id="1" xr3:uid="{00000000-0010-0000-0000-000001000000}" name="Marché"/>
    <tableColumn id="2" xr3:uid="{00000000-0010-0000-0000-000002000000}" name="Fournisseur"/>
    <tableColumn id="3" xr3:uid="{00000000-0010-0000-0000-000003000000}" name="Domaine"/>
    <tableColumn id="5" xr3:uid="{00000000-0010-0000-0000-000005000000}" name="Sous-groupe"/>
    <tableColumn id="6" xr3:uid="{00000000-0010-0000-0000-000006000000}" name="€TTC-1" dataDxfId="87" dataCellStyle="Monétaire"/>
    <tableColumn id="7" xr3:uid="{00000000-0010-0000-0000-000007000000}" name="€TTC-2" dataDxfId="86" dataCellStyle="Monétaire"/>
    <tableColumn id="8" xr3:uid="{00000000-0010-0000-0000-000008000000}" name="€TTC-3" dataDxfId="85" dataCellStyle="Monétaire"/>
    <tableColumn id="9" xr3:uid="{00000000-0010-0000-0000-000009000000}" name="€TTC-4" dataDxfId="84" dataCellStyle="Monétaire"/>
    <tableColumn id="10" xr3:uid="{00000000-0010-0000-0000-00000A000000}" name="€TTC-5" dataDxfId="83" dataCellStyle="Monétaire"/>
    <tableColumn id="11" xr3:uid="{00000000-0010-0000-0000-00000B000000}" name="€TTC-6" dataDxfId="82" dataCellStyle="Monétaire"/>
    <tableColumn id="12" xr3:uid="{00000000-0010-0000-0000-00000C000000}" name="€TTC-7" dataDxfId="81" dataCellStyle="Monétaire"/>
    <tableColumn id="13" xr3:uid="{00000000-0010-0000-0000-00000D000000}" name="€TTC-8" dataDxfId="80" dataCellStyle="Monétaire"/>
    <tableColumn id="14" xr3:uid="{00000000-0010-0000-0000-00000E000000}" name="€TTC-9" dataDxfId="79" dataCellStyle="Monétaire"/>
    <tableColumn id="15" xr3:uid="{00000000-0010-0000-0000-00000F000000}" name="€TTC-10" dataDxfId="78" dataCellStyle="Monétaire"/>
    <tableColumn id="16" xr3:uid="{00000000-0010-0000-0000-000010000000}" name="€TTC-11" dataDxfId="77" dataCellStyle="Monétaire"/>
    <tableColumn id="17" xr3:uid="{00000000-0010-0000-0000-000011000000}" name="€TTC-12" dataDxfId="76" dataCellStyle="Monétaire"/>
    <tableColumn id="18" xr3:uid="{00000000-0010-0000-0000-000012000000}" name="TOTAL TTC + rattrapage amortisseur tarifaire sur les PDL&gt;36" dataDxfId="0" dataCellStyle="Monétaire">
      <calculatedColumnFormula>SUM(Tableau13[[#This Row],[€TTC-1]:[€TTC-12]])</calculatedColumnFormula>
    </tableColumn>
    <tableColumn id="20" xr3:uid="{00000000-0010-0000-0000-000014000000}" name="Conso-1" dataDxfId="75" dataCellStyle="Milliers"/>
    <tableColumn id="21" xr3:uid="{00000000-0010-0000-0000-000015000000}" name="Conso-2" dataDxfId="74" dataCellStyle="Milliers"/>
    <tableColumn id="22" xr3:uid="{00000000-0010-0000-0000-000016000000}" name="Conso-3" dataDxfId="73" dataCellStyle="Milliers"/>
    <tableColumn id="23" xr3:uid="{00000000-0010-0000-0000-000017000000}" name="Conso-4" dataDxfId="72" dataCellStyle="Milliers"/>
    <tableColumn id="24" xr3:uid="{00000000-0010-0000-0000-000018000000}" name="Conso-5" dataDxfId="71" dataCellStyle="Milliers"/>
    <tableColumn id="25" xr3:uid="{00000000-0010-0000-0000-000019000000}" name="Conso-6" dataDxfId="70" dataCellStyle="Milliers"/>
    <tableColumn id="26" xr3:uid="{00000000-0010-0000-0000-00001A000000}" name="Conso-7" dataDxfId="69" dataCellStyle="Milliers"/>
    <tableColumn id="27" xr3:uid="{00000000-0010-0000-0000-00001B000000}" name="Conso-8" dataDxfId="68" dataCellStyle="Milliers"/>
    <tableColumn id="28" xr3:uid="{00000000-0010-0000-0000-00001C000000}" name="Conso-9" dataDxfId="67" dataCellStyle="Milliers"/>
    <tableColumn id="29" xr3:uid="{00000000-0010-0000-0000-00001D000000}" name="Conso-10" dataDxfId="66" dataCellStyle="Milliers"/>
    <tableColumn id="30" xr3:uid="{00000000-0010-0000-0000-00001E000000}" name="Conso-11" dataDxfId="65" dataCellStyle="Milliers"/>
    <tableColumn id="31" xr3:uid="{00000000-0010-0000-0000-00001F000000}" name="Conso-12" dataDxfId="64" dataCellStyle="Milliers"/>
    <tableColumn id="32" xr3:uid="{00000000-0010-0000-0000-000020000000}" name="TOTAL CONSO" dataDxfId="63" dataCellStyle="Milliers">
      <calculatedColumnFormula>SUM(Tableau13[[#This Row],[Conso-1]:[Conso-12]])</calculatedColumnFormula>
    </tableColumn>
    <tableColumn id="34" xr3:uid="{00000000-0010-0000-0000-000022000000}" name="€/kWh" dataDxfId="62">
      <calculatedColumnFormula>IFERROR(Tableau13[[#This Row],[TOTAL TTC + rattrapage amortisseur tarifaire sur les PDL&gt;36]]/Tableau13[[#This Row],[TOTAL CONSO]],"")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1" displayName="Tableau1" ref="A3:AF11" totalsRowShown="0" headerRowDxfId="61">
  <autoFilter ref="A3:AF11" xr:uid="{00000000-0009-0000-0100-000001000000}"/>
  <sortState xmlns:xlrd2="http://schemas.microsoft.com/office/spreadsheetml/2017/richdata2" ref="A5:AF11">
    <sortCondition ref="C3:C11"/>
  </sortState>
  <tableColumns count="32">
    <tableColumn id="1" xr3:uid="{00000000-0010-0000-0100-000001000000}" name="Marché"/>
    <tableColumn id="2" xr3:uid="{00000000-0010-0000-0100-000002000000}" name="Fournisseur"/>
    <tableColumn id="3" xr3:uid="{00000000-0010-0000-0100-000003000000}" name="Domaine"/>
    <tableColumn id="5" xr3:uid="{00000000-0010-0000-0100-000005000000}" name="Sous-groupe"/>
    <tableColumn id="6" xr3:uid="{00000000-0010-0000-0100-000006000000}" name="€TTC-1" dataDxfId="60" dataCellStyle="Monétaire"/>
    <tableColumn id="7" xr3:uid="{00000000-0010-0000-0100-000007000000}" name="€TTC-2" dataDxfId="59" dataCellStyle="Monétaire"/>
    <tableColumn id="8" xr3:uid="{00000000-0010-0000-0100-000008000000}" name="€TTC-3" dataDxfId="58" dataCellStyle="Monétaire"/>
    <tableColumn id="9" xr3:uid="{00000000-0010-0000-0100-000009000000}" name="€TTC-4" dataDxfId="57" dataCellStyle="Monétaire"/>
    <tableColumn id="10" xr3:uid="{00000000-0010-0000-0100-00000A000000}" name="€TTC-5" dataDxfId="56" dataCellStyle="Monétaire"/>
    <tableColumn id="11" xr3:uid="{00000000-0010-0000-0100-00000B000000}" name="€TTC-6" dataDxfId="55" dataCellStyle="Monétaire"/>
    <tableColumn id="12" xr3:uid="{00000000-0010-0000-0100-00000C000000}" name="€TTC-7" dataDxfId="54" dataCellStyle="Monétaire"/>
    <tableColumn id="13" xr3:uid="{00000000-0010-0000-0100-00000D000000}" name="€TTC-8" dataDxfId="53" dataCellStyle="Monétaire"/>
    <tableColumn id="14" xr3:uid="{00000000-0010-0000-0100-00000E000000}" name="€TTC-9" dataDxfId="52" dataCellStyle="Monétaire"/>
    <tableColumn id="15" xr3:uid="{00000000-0010-0000-0100-00000F000000}" name="€TTC-10" dataDxfId="51" dataCellStyle="Monétaire"/>
    <tableColumn id="16" xr3:uid="{00000000-0010-0000-0100-000010000000}" name="€TTC-11" dataDxfId="50" dataCellStyle="Monétaire"/>
    <tableColumn id="17" xr3:uid="{00000000-0010-0000-0100-000011000000}" name="€TTC-12" dataDxfId="49" dataCellStyle="Monétaire"/>
    <tableColumn id="18" xr3:uid="{00000000-0010-0000-0100-000012000000}" name="TOTAL TTC" dataDxfId="48" dataCellStyle="Monétaire">
      <calculatedColumnFormula>SUM(Tableau1[[#This Row],[€TTC-1]:[€TTC-12]])</calculatedColumnFormula>
    </tableColumn>
    <tableColumn id="20" xr3:uid="{00000000-0010-0000-0100-000014000000}" name="Conso-1" dataDxfId="47" dataCellStyle="Milliers"/>
    <tableColumn id="21" xr3:uid="{00000000-0010-0000-0100-000015000000}" name="Conso-2" dataDxfId="46" dataCellStyle="Milliers"/>
    <tableColumn id="22" xr3:uid="{00000000-0010-0000-0100-000016000000}" name="Conso-3" dataDxfId="45" dataCellStyle="Milliers"/>
    <tableColumn id="23" xr3:uid="{00000000-0010-0000-0100-000017000000}" name="Conso-4" dataDxfId="44" dataCellStyle="Milliers"/>
    <tableColumn id="24" xr3:uid="{00000000-0010-0000-0100-000018000000}" name="Conso-5" dataDxfId="43" dataCellStyle="Milliers"/>
    <tableColumn id="25" xr3:uid="{00000000-0010-0000-0100-000019000000}" name="Conso-6" dataDxfId="42" dataCellStyle="Milliers"/>
    <tableColumn id="26" xr3:uid="{00000000-0010-0000-0100-00001A000000}" name="Conso-7" dataDxfId="41" dataCellStyle="Milliers"/>
    <tableColumn id="27" xr3:uid="{00000000-0010-0000-0100-00001B000000}" name="Conso-8" dataDxfId="40" dataCellStyle="Milliers"/>
    <tableColumn id="28" xr3:uid="{00000000-0010-0000-0100-00001C000000}" name="Conso-9" dataDxfId="39" dataCellStyle="Milliers"/>
    <tableColumn id="29" xr3:uid="{00000000-0010-0000-0100-00001D000000}" name="Conso-10" dataDxfId="38" dataCellStyle="Milliers"/>
    <tableColumn id="30" xr3:uid="{00000000-0010-0000-0100-00001E000000}" name="Conso-11" dataDxfId="37" dataCellStyle="Milliers"/>
    <tableColumn id="31" xr3:uid="{00000000-0010-0000-0100-00001F000000}" name="Conso-12" dataDxfId="36" dataCellStyle="Milliers"/>
    <tableColumn id="32" xr3:uid="{00000000-0010-0000-0100-000020000000}" name="TOTAL CONSO" dataDxfId="35" dataCellStyle="Milliers">
      <calculatedColumnFormula>SUM(Tableau1[[#This Row],[Conso-1]:[Conso-12]])</calculatedColumnFormula>
    </tableColumn>
    <tableColumn id="34" xr3:uid="{00000000-0010-0000-0100-000022000000}" name="€/kWh" dataDxfId="34">
      <calculatedColumnFormula>IFERROR(Tableau1[[#This Row],[TOTAL TTC]]/Tableau1[[#This Row],[TOTAL CONSO]],"")</calculatedColumnFormula>
    </tableColumn>
    <tableColumn id="38" xr3:uid="{00000000-0010-0000-0100-000026000000}" name="Commentaire" dataDxfId="33" dataCellStyle="Millie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au14" displayName="Tableau14" ref="A3:AC11" totalsRowShown="0" headerRowDxfId="32">
  <autoFilter ref="A3:AC11" xr:uid="{00000000-0009-0000-0100-000003000000}"/>
  <sortState xmlns:xlrd2="http://schemas.microsoft.com/office/spreadsheetml/2017/richdata2" ref="A4:AC11">
    <sortCondition ref="A3:A11"/>
  </sortState>
  <tableColumns count="29">
    <tableColumn id="3" xr3:uid="{00000000-0010-0000-0200-000003000000}" name="Domaine"/>
    <tableColumn id="5" xr3:uid="{00000000-0010-0000-0200-000005000000}" name="Sous-groupe"/>
    <tableColumn id="6" xr3:uid="{00000000-0010-0000-0200-000006000000}" name="€TTC-1" dataDxfId="31" dataCellStyle="Monétaire"/>
    <tableColumn id="7" xr3:uid="{00000000-0010-0000-0200-000007000000}" name="€TTC-2" dataDxfId="30" dataCellStyle="Monétaire"/>
    <tableColumn id="8" xr3:uid="{00000000-0010-0000-0200-000008000000}" name="€TTC-3" dataDxfId="29" dataCellStyle="Monétaire"/>
    <tableColumn id="9" xr3:uid="{00000000-0010-0000-0200-000009000000}" name="€TTC-4" dataDxfId="28" dataCellStyle="Monétaire"/>
    <tableColumn id="10" xr3:uid="{00000000-0010-0000-0200-00000A000000}" name="€TTC-5" dataDxfId="27" dataCellStyle="Monétaire"/>
    <tableColumn id="11" xr3:uid="{00000000-0010-0000-0200-00000B000000}" name="€TTC-6" dataDxfId="26" dataCellStyle="Monétaire"/>
    <tableColumn id="12" xr3:uid="{00000000-0010-0000-0200-00000C000000}" name="€TTC-7" dataDxfId="25" dataCellStyle="Monétaire"/>
    <tableColumn id="13" xr3:uid="{00000000-0010-0000-0200-00000D000000}" name="€TTC-8" dataDxfId="24" dataCellStyle="Monétaire"/>
    <tableColumn id="14" xr3:uid="{00000000-0010-0000-0200-00000E000000}" name="€TTC-9" dataDxfId="23" dataCellStyle="Monétaire"/>
    <tableColumn id="15" xr3:uid="{00000000-0010-0000-0200-00000F000000}" name="€TTC-10" dataDxfId="22" dataCellStyle="Monétaire"/>
    <tableColumn id="16" xr3:uid="{00000000-0010-0000-0200-000010000000}" name="€TTC-11" dataDxfId="21" dataCellStyle="Monétaire"/>
    <tableColumn id="17" xr3:uid="{00000000-0010-0000-0200-000011000000}" name="€TTC-12" dataDxfId="20" dataCellStyle="Monétaire"/>
    <tableColumn id="18" xr3:uid="{00000000-0010-0000-0200-000012000000}" name="TOTAL TTC" dataDxfId="19" dataCellStyle="Monétaire">
      <calculatedColumnFormula>SUM(Tableau14[[#This Row],[€TTC-1]:[€TTC-12]])</calculatedColumnFormula>
    </tableColumn>
    <tableColumn id="20" xr3:uid="{00000000-0010-0000-0200-000014000000}" name="Conso-1" dataDxfId="18" dataCellStyle="Milliers"/>
    <tableColumn id="21" xr3:uid="{00000000-0010-0000-0200-000015000000}" name="Conso-2" dataDxfId="17" dataCellStyle="Milliers"/>
    <tableColumn id="22" xr3:uid="{00000000-0010-0000-0200-000016000000}" name="Conso-3" dataDxfId="16" dataCellStyle="Milliers"/>
    <tableColumn id="23" xr3:uid="{00000000-0010-0000-0200-000017000000}" name="Conso-4" dataDxfId="15" dataCellStyle="Milliers"/>
    <tableColumn id="24" xr3:uid="{00000000-0010-0000-0200-000018000000}" name="Conso-5" dataDxfId="14" dataCellStyle="Milliers"/>
    <tableColumn id="25" xr3:uid="{00000000-0010-0000-0200-000019000000}" name="Conso-6" dataDxfId="13" dataCellStyle="Milliers"/>
    <tableColumn id="26" xr3:uid="{00000000-0010-0000-0200-00001A000000}" name="Conso-7" dataDxfId="12" dataCellStyle="Milliers"/>
    <tableColumn id="27" xr3:uid="{00000000-0010-0000-0200-00001B000000}" name="Conso-8" dataDxfId="11" dataCellStyle="Milliers"/>
    <tableColumn id="28" xr3:uid="{00000000-0010-0000-0200-00001C000000}" name="Conso-9" dataDxfId="10" dataCellStyle="Milliers"/>
    <tableColumn id="29" xr3:uid="{00000000-0010-0000-0200-00001D000000}" name="Conso-10" dataDxfId="9" dataCellStyle="Milliers"/>
    <tableColumn id="30" xr3:uid="{00000000-0010-0000-0200-00001E000000}" name="Conso-11" dataDxfId="8" dataCellStyle="Milliers"/>
    <tableColumn id="31" xr3:uid="{00000000-0010-0000-0200-00001F000000}" name="Conso-12" dataDxfId="7" dataCellStyle="Milliers"/>
    <tableColumn id="32" xr3:uid="{00000000-0010-0000-0200-000020000000}" name="TOTAL CONSO" dataDxfId="6" dataCellStyle="Milliers">
      <calculatedColumnFormula>SUM(Tableau14[[#This Row],[Conso-1]:[Conso-12]])</calculatedColumnFormula>
    </tableColumn>
    <tableColumn id="34" xr3:uid="{00000000-0010-0000-0200-000022000000}" name="€/kWh" dataDxfId="5">
      <calculatedColumnFormula>IFERROR(Tableau14[[#This Row],[TOTAL TTC]]/Tableau14[[#This Row],[TOTAL CONSO]],"")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au145" displayName="Tableau145" ref="A3:E11" totalsRowShown="0" headerRowDxfId="4">
  <autoFilter ref="A3:E11" xr:uid="{00000000-0009-0000-0100-000004000000}"/>
  <sortState xmlns:xlrd2="http://schemas.microsoft.com/office/spreadsheetml/2017/richdata2" ref="A4:E11">
    <sortCondition ref="A3:A11"/>
  </sortState>
  <tableColumns count="5">
    <tableColumn id="3" xr3:uid="{00000000-0010-0000-0300-000003000000}" name="Domaine"/>
    <tableColumn id="5" xr3:uid="{00000000-0010-0000-0300-000005000000}" name="Sous-groupe"/>
    <tableColumn id="18" xr3:uid="{00000000-0010-0000-0300-000012000000}" name="TOTAL TTC" dataDxfId="3" dataCellStyle="Monétaire"/>
    <tableColumn id="32" xr3:uid="{00000000-0010-0000-0300-000020000000}" name="TOTAL CONSO" dataDxfId="2" dataCellStyle="Milliers"/>
    <tableColumn id="34" xr3:uid="{00000000-0010-0000-0300-000022000000}" name="€/kWh" dataDxfId="1">
      <calculatedColumnFormula>IFERROR(Tableau145[[#This Row],[TOTAL TTC]]/Tableau145[[#This Row],[TOTAL CONSO]],"")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DD270-6E2D-4D2D-9A26-AB824FCCDE76}">
  <sheetPr>
    <tabColor theme="9"/>
  </sheetPr>
  <dimension ref="A1:AH20"/>
  <sheetViews>
    <sheetView tabSelected="1" zoomScale="85" zoomScaleNormal="85" workbookViewId="0">
      <pane xSplit="4" ySplit="3" topLeftCell="Q4" activePane="bottomRight" state="frozen"/>
      <selection activeCell="D1" sqref="D1"/>
      <selection pane="topRight" activeCell="G1" sqref="G1"/>
      <selection pane="bottomLeft" activeCell="D4" sqref="D4"/>
      <selection pane="bottomRight" activeCell="D4" sqref="D4"/>
    </sheetView>
  </sheetViews>
  <sheetFormatPr baseColWidth="10" defaultColWidth="10.81640625" defaultRowHeight="14.5" outlineLevelCol="2" x14ac:dyDescent="0.35"/>
  <cols>
    <col min="1" max="1" width="9.7265625" style="16" hidden="1" customWidth="1" outlineLevel="1"/>
    <col min="2" max="2" width="7.453125" style="16" hidden="1" customWidth="1" outlineLevel="1" collapsed="1"/>
    <col min="3" max="3" width="15.1796875" style="16" customWidth="1" collapsed="1"/>
    <col min="4" max="4" width="17.1796875" style="16" customWidth="1"/>
    <col min="5" max="12" width="10.54296875" style="16" hidden="1" customWidth="1" outlineLevel="1"/>
    <col min="13" max="13" width="10.54296875" style="16" hidden="1" customWidth="1" outlineLevel="2"/>
    <col min="14" max="15" width="10.54296875" style="16" hidden="1" customWidth="1" outlineLevel="2" collapsed="1"/>
    <col min="16" max="16" width="10.54296875" style="16" hidden="1" customWidth="1" outlineLevel="2"/>
    <col min="17" max="17" width="12.453125" style="16" customWidth="1" collapsed="1"/>
    <col min="18" max="18" width="10.453125" style="16" hidden="1" customWidth="1" outlineLevel="1"/>
    <col min="19" max="25" width="12.1796875" style="16" hidden="1" customWidth="1" outlineLevel="1"/>
    <col min="26" max="26" width="13.1796875" style="16" hidden="1" customWidth="1" outlineLevel="1"/>
    <col min="27" max="27" width="14.1796875" style="16" hidden="1" customWidth="1" outlineLevel="1" collapsed="1"/>
    <col min="28" max="28" width="10.81640625" style="16" hidden="1" customWidth="1" outlineLevel="1" collapsed="1"/>
    <col min="29" max="29" width="12.7265625" style="16" hidden="1" customWidth="1" outlineLevel="1"/>
    <col min="30" max="30" width="12.81640625" style="16" customWidth="1" collapsed="1"/>
    <col min="31" max="31" width="11.26953125" style="28" bestFit="1" customWidth="1"/>
    <col min="32" max="32" width="10.81640625" style="16"/>
    <col min="33" max="33" width="12.1796875" style="16" bestFit="1" customWidth="1"/>
    <col min="34" max="16384" width="10.81640625" style="16"/>
  </cols>
  <sheetData>
    <row r="1" spans="1:33" x14ac:dyDescent="0.35">
      <c r="D1" s="22"/>
      <c r="AE1" s="29"/>
    </row>
    <row r="2" spans="1:33" x14ac:dyDescent="0.35">
      <c r="D2" s="38" t="s">
        <v>50</v>
      </c>
      <c r="Q2" s="30">
        <f>SUBTOTAL(9,Tableau136[TOTAL TTC])</f>
        <v>2657192.7940000002</v>
      </c>
      <c r="AD2" s="23">
        <f>SUBTOTAL(9,Tableau136[TOTAL CONSO])</f>
        <v>9912564</v>
      </c>
      <c r="AE2" s="35">
        <f>Q2/AD2</f>
        <v>0.26806311606159622</v>
      </c>
      <c r="AG2" s="32"/>
    </row>
    <row r="3" spans="1:33" s="13" customFormat="1" ht="29" x14ac:dyDescent="0.35">
      <c r="A3" s="13" t="s">
        <v>31</v>
      </c>
      <c r="B3" s="13" t="s">
        <v>0</v>
      </c>
      <c r="C3" s="13" t="s">
        <v>1</v>
      </c>
      <c r="D3" s="13" t="s">
        <v>2</v>
      </c>
      <c r="E3" s="2" t="s">
        <v>15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22</v>
      </c>
      <c r="M3" s="2" t="s">
        <v>23</v>
      </c>
      <c r="N3" s="2" t="s">
        <v>24</v>
      </c>
      <c r="O3" s="2" t="s">
        <v>25</v>
      </c>
      <c r="P3" s="2" t="s">
        <v>26</v>
      </c>
      <c r="Q3" s="2" t="s">
        <v>27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12</v>
      </c>
      <c r="AB3" s="1" t="s">
        <v>13</v>
      </c>
      <c r="AC3" s="1" t="s">
        <v>14</v>
      </c>
      <c r="AD3" s="1" t="s">
        <v>28</v>
      </c>
      <c r="AE3" s="25" t="s">
        <v>29</v>
      </c>
    </row>
    <row r="4" spans="1:33" x14ac:dyDescent="0.35">
      <c r="A4" s="16" t="s">
        <v>39</v>
      </c>
      <c r="B4" s="16" t="s">
        <v>36</v>
      </c>
      <c r="C4" s="16" t="s">
        <v>33</v>
      </c>
      <c r="D4" s="16" t="s">
        <v>34</v>
      </c>
      <c r="E4" s="17">
        <v>427093.65</v>
      </c>
      <c r="F4" s="17">
        <v>266865.99</v>
      </c>
      <c r="G4" s="17"/>
      <c r="H4" s="17">
        <v>167444.19</v>
      </c>
      <c r="I4" s="17">
        <v>92092.66</v>
      </c>
      <c r="J4" s="14"/>
      <c r="K4" s="17">
        <v>147892.71</v>
      </c>
      <c r="L4" s="17">
        <v>192730.91</v>
      </c>
      <c r="M4" s="17"/>
      <c r="N4" s="17"/>
      <c r="O4" s="17"/>
      <c r="P4" s="17"/>
      <c r="Q4" s="14">
        <f>SUM(Tableau136[[#This Row],[€TTC-1]:[€TTC-12]])</f>
        <v>1294120.1100000001</v>
      </c>
      <c r="R4" s="19">
        <v>1564816</v>
      </c>
      <c r="S4" s="19">
        <v>937858</v>
      </c>
      <c r="T4" s="20"/>
      <c r="U4" s="19">
        <v>536970</v>
      </c>
      <c r="V4" s="19">
        <v>288972</v>
      </c>
      <c r="W4" s="20"/>
      <c r="X4" s="19">
        <v>386974</v>
      </c>
      <c r="Y4" s="20">
        <v>733208</v>
      </c>
      <c r="Z4" s="20"/>
      <c r="AA4" s="20"/>
      <c r="AB4" s="20"/>
      <c r="AC4" s="20"/>
      <c r="AD4" s="20">
        <f>SUM(Tableau136[[#This Row],[Conso-1]:[Conso-12]])</f>
        <v>4448798</v>
      </c>
      <c r="AE4" s="26">
        <f>IFERROR(Tableau136[[#This Row],[TOTAL TTC]]/Tableau136[[#This Row],[TOTAL CONSO]],"")</f>
        <v>0.29089208141165324</v>
      </c>
    </row>
    <row r="5" spans="1:33" x14ac:dyDescent="0.35">
      <c r="A5" s="16" t="s">
        <v>35</v>
      </c>
      <c r="B5" s="16" t="s">
        <v>36</v>
      </c>
      <c r="C5" s="16" t="s">
        <v>33</v>
      </c>
      <c r="D5" s="16" t="s">
        <v>37</v>
      </c>
      <c r="E5" s="17">
        <v>189654.78</v>
      </c>
      <c r="F5" s="17">
        <v>172209.18</v>
      </c>
      <c r="G5" s="17">
        <v>148707.084</v>
      </c>
      <c r="H5" s="17"/>
      <c r="I5" s="17">
        <v>79804.920000000013</v>
      </c>
      <c r="J5" s="17">
        <v>68862.263999999996</v>
      </c>
      <c r="K5" s="17">
        <v>73036.2</v>
      </c>
      <c r="L5" s="17">
        <v>91279.32</v>
      </c>
      <c r="M5" s="17"/>
      <c r="N5" s="17"/>
      <c r="O5" s="17"/>
      <c r="P5" s="17"/>
      <c r="Q5" s="17">
        <f>SUM(Tableau136[[#This Row],[€TTC-1]:[€TTC-12]])</f>
        <v>823553.74799999991</v>
      </c>
      <c r="R5" s="19">
        <v>708691</v>
      </c>
      <c r="S5" s="19">
        <v>608633</v>
      </c>
      <c r="T5" s="19">
        <v>557849</v>
      </c>
      <c r="U5" s="20"/>
      <c r="V5" s="19">
        <v>393525</v>
      </c>
      <c r="W5" s="19">
        <v>342440</v>
      </c>
      <c r="X5" s="16">
        <v>362808</v>
      </c>
      <c r="Y5" s="19">
        <v>426770</v>
      </c>
      <c r="Z5" s="20"/>
      <c r="AA5" s="20"/>
      <c r="AB5" s="20"/>
      <c r="AC5" s="20"/>
      <c r="AD5" s="20">
        <f>SUM(Tableau136[[#This Row],[Conso-1]:[Conso-12]])</f>
        <v>3400716</v>
      </c>
      <c r="AE5" s="27">
        <f>IFERROR(Tableau136[[#This Row],[TOTAL TTC]]/Tableau136[[#This Row],[TOTAL CONSO]],"")</f>
        <v>0.24217069228950605</v>
      </c>
    </row>
    <row r="6" spans="1:33" x14ac:dyDescent="0.35">
      <c r="A6" s="16" t="s">
        <v>35</v>
      </c>
      <c r="B6" s="16" t="s">
        <v>36</v>
      </c>
      <c r="C6" s="16" t="s">
        <v>33</v>
      </c>
      <c r="D6" s="16" t="s">
        <v>42</v>
      </c>
      <c r="E6" s="17">
        <v>37090.932000000001</v>
      </c>
      <c r="F6" s="17">
        <v>32836.68</v>
      </c>
      <c r="G6" s="17">
        <v>29427.156000000003</v>
      </c>
      <c r="H6" s="17">
        <v>18929.16</v>
      </c>
      <c r="I6" s="17">
        <v>14629.896000000001</v>
      </c>
      <c r="J6" s="17">
        <v>12574.728000000001</v>
      </c>
      <c r="K6" s="17">
        <v>13734.828000000001</v>
      </c>
      <c r="L6" s="17">
        <v>17273.004000000001</v>
      </c>
      <c r="M6" s="17"/>
      <c r="N6" s="17"/>
      <c r="O6" s="17"/>
      <c r="P6" s="17"/>
      <c r="Q6" s="17">
        <f>SUM(Tableau136[[#This Row],[€TTC-1]:[€TTC-12]])</f>
        <v>176496.38400000002</v>
      </c>
      <c r="R6" s="19">
        <v>133519</v>
      </c>
      <c r="S6" s="19">
        <v>112396</v>
      </c>
      <c r="T6" s="19">
        <v>106067</v>
      </c>
      <c r="U6" s="19">
        <v>83140</v>
      </c>
      <c r="V6" s="19">
        <v>69539</v>
      </c>
      <c r="W6" s="19">
        <v>60082</v>
      </c>
      <c r="X6" s="19">
        <v>66012</v>
      </c>
      <c r="Y6" s="19">
        <v>78541</v>
      </c>
      <c r="Z6" s="20"/>
      <c r="AA6" s="20"/>
      <c r="AB6" s="20"/>
      <c r="AC6" s="20"/>
      <c r="AD6" s="20">
        <f>SUM(Tableau136[[#This Row],[Conso-1]:[Conso-12]])</f>
        <v>709296</v>
      </c>
      <c r="AE6" s="27">
        <f>IFERROR(Tableau136[[#This Row],[TOTAL TTC]]/Tableau136[[#This Row],[TOTAL CONSO]],"")</f>
        <v>0.24883318670907495</v>
      </c>
    </row>
    <row r="7" spans="1:33" x14ac:dyDescent="0.35">
      <c r="A7" s="16" t="s">
        <v>35</v>
      </c>
      <c r="B7" s="16" t="s">
        <v>36</v>
      </c>
      <c r="C7" s="16" t="s">
        <v>33</v>
      </c>
      <c r="D7" s="16" t="s">
        <v>43</v>
      </c>
      <c r="E7" s="17">
        <v>34547.040000000001</v>
      </c>
      <c r="F7" s="17">
        <v>31657.248</v>
      </c>
      <c r="G7" s="17">
        <v>27234.383999999998</v>
      </c>
      <c r="H7" s="17">
        <v>19431.588</v>
      </c>
      <c r="I7" s="17">
        <v>15912.54</v>
      </c>
      <c r="J7" s="17">
        <v>13780.763999999999</v>
      </c>
      <c r="K7" s="17">
        <v>14866.5</v>
      </c>
      <c r="L7" s="17">
        <v>18441.048000000003</v>
      </c>
      <c r="M7" s="17"/>
      <c r="N7" s="17"/>
      <c r="O7" s="17"/>
      <c r="P7" s="17"/>
      <c r="Q7" s="17">
        <f>SUM(Tableau136[[#This Row],[€TTC-1]:[€TTC-12]])</f>
        <v>175871.11199999999</v>
      </c>
      <c r="R7" s="19">
        <v>121233</v>
      </c>
      <c r="S7" s="19">
        <v>105275</v>
      </c>
      <c r="T7" s="19">
        <v>95140</v>
      </c>
      <c r="U7" s="19">
        <v>81182</v>
      </c>
      <c r="V7" s="19">
        <v>69788</v>
      </c>
      <c r="W7" s="19">
        <v>60969</v>
      </c>
      <c r="X7" s="19">
        <v>65651</v>
      </c>
      <c r="Y7" s="19">
        <v>78172</v>
      </c>
      <c r="Z7" s="20"/>
      <c r="AA7" s="20"/>
      <c r="AB7" s="20"/>
      <c r="AC7" s="20"/>
      <c r="AD7" s="20">
        <f>SUM(Tableau136[[#This Row],[Conso-1]:[Conso-12]])</f>
        <v>677410</v>
      </c>
      <c r="AE7" s="27">
        <f>IFERROR(Tableau136[[#This Row],[TOTAL TTC]]/Tableau136[[#This Row],[TOTAL CONSO]],"")</f>
        <v>0.25962284583929968</v>
      </c>
    </row>
    <row r="8" spans="1:33" x14ac:dyDescent="0.35">
      <c r="A8" s="16" t="s">
        <v>35</v>
      </c>
      <c r="B8" s="16" t="s">
        <v>36</v>
      </c>
      <c r="C8" s="16" t="s">
        <v>33</v>
      </c>
      <c r="D8" s="16" t="s">
        <v>44</v>
      </c>
      <c r="E8" s="17">
        <v>30904.596000000001</v>
      </c>
      <c r="F8" s="17">
        <v>27846.780000000002</v>
      </c>
      <c r="G8" s="17">
        <v>23732.232</v>
      </c>
      <c r="H8" s="17">
        <v>15321.036</v>
      </c>
      <c r="I8" s="17">
        <v>12730.344000000001</v>
      </c>
      <c r="J8" s="17">
        <v>11070.048000000001</v>
      </c>
      <c r="K8" s="17">
        <v>12061.932000000001</v>
      </c>
      <c r="L8" s="17">
        <v>15052.992</v>
      </c>
      <c r="M8" s="17"/>
      <c r="N8" s="17"/>
      <c r="O8" s="17"/>
      <c r="P8" s="17"/>
      <c r="Q8" s="17">
        <f>SUM(Tableau136[[#This Row],[€TTC-1]:[€TTC-12]])</f>
        <v>148719.96</v>
      </c>
      <c r="R8" s="19">
        <v>112333</v>
      </c>
      <c r="S8" s="19">
        <v>96154</v>
      </c>
      <c r="T8" s="19">
        <v>86912</v>
      </c>
      <c r="U8" s="19">
        <v>67825</v>
      </c>
      <c r="V8" s="19">
        <v>60934</v>
      </c>
      <c r="W8" s="19">
        <v>53590</v>
      </c>
      <c r="X8" s="19">
        <v>58537</v>
      </c>
      <c r="Y8" s="19">
        <v>69037</v>
      </c>
      <c r="Z8" s="20"/>
      <c r="AA8" s="20"/>
      <c r="AB8" s="20"/>
      <c r="AC8" s="20"/>
      <c r="AD8" s="20">
        <f>SUM(Tableau136[[#This Row],[Conso-1]:[Conso-12]])</f>
        <v>605322</v>
      </c>
      <c r="AE8" s="27">
        <f>IFERROR(Tableau136[[#This Row],[TOTAL TTC]]/Tableau136[[#This Row],[TOTAL CONSO]],"")</f>
        <v>0.24568735317731719</v>
      </c>
    </row>
    <row r="9" spans="1:33" x14ac:dyDescent="0.35">
      <c r="A9" s="16" t="s">
        <v>35</v>
      </c>
      <c r="B9" s="16" t="s">
        <v>36</v>
      </c>
      <c r="C9" s="16" t="s">
        <v>33</v>
      </c>
      <c r="D9" s="16" t="s">
        <v>45</v>
      </c>
      <c r="E9" s="17">
        <v>2688.5520000000001</v>
      </c>
      <c r="F9" s="17">
        <v>2216.58</v>
      </c>
      <c r="G9" s="17">
        <v>2048.5439999999999</v>
      </c>
      <c r="H9" s="17">
        <v>1800.9839999999999</v>
      </c>
      <c r="I9" s="17">
        <v>1796.3040000000001</v>
      </c>
      <c r="J9" s="17">
        <v>1708.9560000000001</v>
      </c>
      <c r="K9" s="17">
        <v>1760.3040000000001</v>
      </c>
      <c r="L9" s="17">
        <v>1761.9</v>
      </c>
      <c r="M9" s="17"/>
      <c r="N9" s="17"/>
      <c r="O9" s="17"/>
      <c r="P9" s="17"/>
      <c r="Q9" s="17">
        <f>SUM(Tableau136[[#This Row],[€TTC-1]:[€TTC-12]])</f>
        <v>15782.124</v>
      </c>
      <c r="R9" s="19">
        <v>4598</v>
      </c>
      <c r="S9" s="20">
        <v>2932</v>
      </c>
      <c r="T9" s="20">
        <v>2040</v>
      </c>
      <c r="U9" s="20">
        <v>1722</v>
      </c>
      <c r="V9" s="20">
        <v>1554</v>
      </c>
      <c r="W9" s="20">
        <v>1418</v>
      </c>
      <c r="X9" s="21">
        <v>1423</v>
      </c>
      <c r="Y9" s="20">
        <v>1430</v>
      </c>
      <c r="Z9" s="20"/>
      <c r="AA9" s="20"/>
      <c r="AB9" s="20"/>
      <c r="AC9" s="20"/>
      <c r="AD9" s="20">
        <f>SUM(Tableau136[[#This Row],[Conso-1]:[Conso-12]])</f>
        <v>17117</v>
      </c>
      <c r="AE9" s="27">
        <f>IFERROR(Tableau136[[#This Row],[TOTAL TTC]]/Tableau136[[#This Row],[TOTAL CONSO]],"")</f>
        <v>0.92201460536308932</v>
      </c>
    </row>
    <row r="10" spans="1:33" x14ac:dyDescent="0.35">
      <c r="A10" s="16" t="s">
        <v>35</v>
      </c>
      <c r="B10" s="16" t="s">
        <v>36</v>
      </c>
      <c r="C10" s="16" t="s">
        <v>33</v>
      </c>
      <c r="D10" s="16" t="s">
        <v>38</v>
      </c>
      <c r="E10" s="17"/>
      <c r="F10" s="17"/>
      <c r="G10" s="17">
        <v>10230.459999999999</v>
      </c>
      <c r="H10" s="17">
        <v>3403.0439999999999</v>
      </c>
      <c r="I10" s="37">
        <v>3111.5879999999997</v>
      </c>
      <c r="J10" s="17">
        <v>2960.7360000000003</v>
      </c>
      <c r="K10" s="17">
        <v>2943.5280000000002</v>
      </c>
      <c r="L10" s="17"/>
      <c r="M10" s="17"/>
      <c r="N10" s="17"/>
      <c r="O10" s="17"/>
      <c r="P10" s="17"/>
      <c r="Q10" s="17">
        <f>SUM(Tableau136[[#This Row],[€TTC-1]:[€TTC-12]])</f>
        <v>22649.356</v>
      </c>
      <c r="R10" s="20"/>
      <c r="S10" s="20"/>
      <c r="T10" s="19">
        <v>23225</v>
      </c>
      <c r="U10" s="19">
        <v>8152</v>
      </c>
      <c r="V10" s="19">
        <v>7846</v>
      </c>
      <c r="W10" s="19">
        <v>7376</v>
      </c>
      <c r="X10" s="19">
        <v>7306</v>
      </c>
      <c r="Y10" s="20"/>
      <c r="Z10" s="20"/>
      <c r="AA10" s="20"/>
      <c r="AB10" s="20"/>
      <c r="AC10" s="20"/>
      <c r="AD10" s="20">
        <f>SUM(Tableau136[[#This Row],[Conso-1]:[Conso-12]])</f>
        <v>53905</v>
      </c>
      <c r="AE10" s="27">
        <f>IFERROR(Tableau136[[#This Row],[TOTAL TTC]]/Tableau136[[#This Row],[TOTAL CONSO]],"")</f>
        <v>0.42017170948891569</v>
      </c>
    </row>
    <row r="11" spans="1:33" x14ac:dyDescent="0.35">
      <c r="S11" s="19"/>
      <c r="T11" s="19"/>
      <c r="U11" s="19"/>
    </row>
    <row r="12" spans="1:33" x14ac:dyDescent="0.35">
      <c r="V12" s="19"/>
    </row>
    <row r="13" spans="1:33" x14ac:dyDescent="0.35"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3" x14ac:dyDescent="0.35"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</row>
    <row r="15" spans="1:33" x14ac:dyDescent="0.35"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</row>
    <row r="17" spans="17:30" x14ac:dyDescent="0.35">
      <c r="Q17" s="32"/>
      <c r="AD17" s="19"/>
    </row>
    <row r="18" spans="17:30" x14ac:dyDescent="0.35">
      <c r="Q18" s="32"/>
    </row>
    <row r="20" spans="17:30" x14ac:dyDescent="0.35">
      <c r="Q20" s="32"/>
      <c r="AD20" s="20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H20"/>
  <sheetViews>
    <sheetView zoomScale="85" zoomScaleNormal="85" workbookViewId="0">
      <pane xSplit="4" ySplit="3" topLeftCell="Q4" activePane="bottomRight" state="frozen"/>
      <selection activeCell="D1" sqref="D1"/>
      <selection pane="topRight" activeCell="G1" sqref="G1"/>
      <selection pane="bottomLeft" activeCell="D4" sqref="D4"/>
      <selection pane="bottomRight" activeCell="D9" sqref="D9"/>
    </sheetView>
  </sheetViews>
  <sheetFormatPr baseColWidth="10" defaultColWidth="10.81640625" defaultRowHeight="14.5" outlineLevelCol="1" x14ac:dyDescent="0.35"/>
  <cols>
    <col min="1" max="1" width="9.7265625" style="16" hidden="1" customWidth="1" outlineLevel="1"/>
    <col min="2" max="2" width="7.453125" style="16" hidden="1" customWidth="1" outlineLevel="1" collapsed="1"/>
    <col min="3" max="3" width="15.1796875" style="16" customWidth="1" collapsed="1"/>
    <col min="4" max="4" width="17.1796875" style="16" customWidth="1"/>
    <col min="5" max="13" width="10.54296875" style="16" hidden="1" customWidth="1" outlineLevel="1"/>
    <col min="14" max="15" width="10.54296875" style="16" hidden="1" customWidth="1" outlineLevel="1" collapsed="1"/>
    <col min="16" max="16" width="10.54296875" style="16" hidden="1" customWidth="1" outlineLevel="1"/>
    <col min="17" max="17" width="12.453125" style="16" customWidth="1" collapsed="1"/>
    <col min="18" max="18" width="10.453125" style="16" hidden="1" customWidth="1" outlineLevel="1"/>
    <col min="19" max="25" width="12.1796875" style="16" hidden="1" customWidth="1" outlineLevel="1"/>
    <col min="26" max="26" width="13.1796875" style="16" hidden="1" customWidth="1" outlineLevel="1"/>
    <col min="27" max="27" width="14.1796875" style="16" hidden="1" customWidth="1" outlineLevel="1" collapsed="1"/>
    <col min="28" max="28" width="10.81640625" style="16" hidden="1" customWidth="1" outlineLevel="1" collapsed="1"/>
    <col min="29" max="29" width="12.7265625" style="16" hidden="1" customWidth="1" outlineLevel="1"/>
    <col min="30" max="30" width="12.81640625" style="16" customWidth="1" collapsed="1"/>
    <col min="31" max="31" width="11.26953125" style="28" bestFit="1" customWidth="1"/>
    <col min="32" max="32" width="10.81640625" style="16"/>
    <col min="33" max="33" width="12.1796875" style="16" bestFit="1" customWidth="1"/>
    <col min="34" max="16384" width="10.81640625" style="16"/>
  </cols>
  <sheetData>
    <row r="1" spans="1:33" x14ac:dyDescent="0.35">
      <c r="D1" s="22"/>
      <c r="K1" s="15"/>
      <c r="AE1" s="29"/>
    </row>
    <row r="2" spans="1:33" x14ac:dyDescent="0.35">
      <c r="D2" s="22" t="s">
        <v>40</v>
      </c>
      <c r="Q2" s="30">
        <f>SUBTOTAL(9,Tableau13[TOTAL TTC + rattrapage amortisseur tarifaire sur les PDL&gt;36])</f>
        <v>4971215.8130000001</v>
      </c>
      <c r="AD2" s="23">
        <f>SUBTOTAL(9,Tableau13[TOTAL CONSO])</f>
        <v>18501865</v>
      </c>
      <c r="AE2" s="35">
        <f>Q2/AD2</f>
        <v>0.2686872816875488</v>
      </c>
      <c r="AG2" s="32"/>
    </row>
    <row r="3" spans="1:33" s="13" customFormat="1" ht="72.5" x14ac:dyDescent="0.35">
      <c r="A3" s="13" t="s">
        <v>31</v>
      </c>
      <c r="B3" s="13" t="s">
        <v>0</v>
      </c>
      <c r="C3" s="13" t="s">
        <v>1</v>
      </c>
      <c r="D3" s="13" t="s">
        <v>2</v>
      </c>
      <c r="E3" s="2" t="s">
        <v>15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22</v>
      </c>
      <c r="M3" s="2" t="s">
        <v>23</v>
      </c>
      <c r="N3" s="2" t="s">
        <v>24</v>
      </c>
      <c r="O3" s="2" t="s">
        <v>25</v>
      </c>
      <c r="P3" s="2" t="s">
        <v>26</v>
      </c>
      <c r="Q3" s="2" t="s">
        <v>47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12</v>
      </c>
      <c r="AB3" s="1" t="s">
        <v>13</v>
      </c>
      <c r="AC3" s="1" t="s">
        <v>14</v>
      </c>
      <c r="AD3" s="1" t="s">
        <v>28</v>
      </c>
      <c r="AE3" s="25" t="s">
        <v>29</v>
      </c>
    </row>
    <row r="4" spans="1:33" x14ac:dyDescent="0.35">
      <c r="A4" s="16" t="s">
        <v>39</v>
      </c>
      <c r="B4" s="16" t="s">
        <v>36</v>
      </c>
      <c r="C4" s="16" t="s">
        <v>33</v>
      </c>
      <c r="D4" s="16" t="s">
        <v>34</v>
      </c>
      <c r="E4" s="17">
        <v>68761.69</v>
      </c>
      <c r="F4" s="17">
        <f>118469.94</f>
        <v>118469.94</v>
      </c>
      <c r="G4" s="17">
        <v>326971.10000000003</v>
      </c>
      <c r="H4" s="17">
        <v>154690.93</v>
      </c>
      <c r="I4" s="17">
        <v>289007.53000000003</v>
      </c>
      <c r="J4" s="14">
        <f>129822.86+540.5</f>
        <v>130363.36</v>
      </c>
      <c r="K4" s="17">
        <v>179601.84</v>
      </c>
      <c r="L4" s="17">
        <f>157911.15+864.86-95.97+3387.48</f>
        <v>162067.51999999999</v>
      </c>
      <c r="M4" s="17">
        <v>184234.81999999998</v>
      </c>
      <c r="N4" s="17">
        <f>342.45+163622.09</f>
        <v>163964.54</v>
      </c>
      <c r="O4" s="17">
        <f>572.24+264160.82</f>
        <v>264733.06</v>
      </c>
      <c r="P4" s="17">
        <f>135136.78+502.22+213546.825</f>
        <v>349185.82500000001</v>
      </c>
      <c r="Q4" s="14">
        <f>SUM(Tableau13[[#This Row],[€TTC-1]:[€TTC-12]])</f>
        <v>2392052.1550000003</v>
      </c>
      <c r="R4" s="20">
        <v>228127</v>
      </c>
      <c r="S4" s="20">
        <v>416281</v>
      </c>
      <c r="T4" s="20">
        <v>1140518</v>
      </c>
      <c r="U4" s="20">
        <v>537049</v>
      </c>
      <c r="V4" s="20">
        <v>1000656</v>
      </c>
      <c r="W4" s="20">
        <f>419310+1437</f>
        <v>420747</v>
      </c>
      <c r="X4" s="20">
        <v>562735</v>
      </c>
      <c r="Y4" s="20">
        <f>518737+972+12005</f>
        <v>531714</v>
      </c>
      <c r="Z4" s="20">
        <v>576735</v>
      </c>
      <c r="AA4" s="20">
        <f>72+555258</f>
        <v>555330</v>
      </c>
      <c r="AB4" s="20">
        <f>1349+893249</f>
        <v>894598</v>
      </c>
      <c r="AC4" s="20">
        <f>469525+564+782408</f>
        <v>1252497</v>
      </c>
      <c r="AD4" s="20">
        <f>SUM(Tableau13[[#This Row],[Conso-1]:[Conso-12]])</f>
        <v>8116987</v>
      </c>
      <c r="AE4" s="26">
        <f>IFERROR(Tableau13[[#This Row],[TOTAL TTC + rattrapage amortisseur tarifaire sur les PDL&gt;36]]/Tableau13[[#This Row],[TOTAL CONSO]],"")</f>
        <v>0.2946970538452261</v>
      </c>
    </row>
    <row r="5" spans="1:33" x14ac:dyDescent="0.35">
      <c r="A5" s="16" t="s">
        <v>35</v>
      </c>
      <c r="B5" s="16" t="s">
        <v>36</v>
      </c>
      <c r="C5" s="16" t="s">
        <v>33</v>
      </c>
      <c r="D5" s="16" t="s">
        <v>37</v>
      </c>
      <c r="E5" s="17">
        <v>361026.20399999997</v>
      </c>
      <c r="F5" s="17">
        <v>288573.65999999997</v>
      </c>
      <c r="G5" s="17">
        <v>272261.26800000004</v>
      </c>
      <c r="H5" s="17">
        <v>-15820.524000000001</v>
      </c>
      <c r="I5" s="17">
        <v>-31927.956000000002</v>
      </c>
      <c r="J5" s="17">
        <v>-32542.703999999998</v>
      </c>
      <c r="K5" s="17">
        <v>-33327.360000000001</v>
      </c>
      <c r="L5" s="17">
        <v>-27300.12</v>
      </c>
      <c r="M5" s="17">
        <v>-7206.35</v>
      </c>
      <c r="N5" s="17">
        <v>8896.9079999999994</v>
      </c>
      <c r="O5" s="17">
        <v>294388.02</v>
      </c>
      <c r="P5" s="17">
        <v>327831.88799999998</v>
      </c>
      <c r="Q5" s="17">
        <f>SUM(Tableau13[[#This Row],[€TTC-1]:[€TTC-12]])+215903.544</f>
        <v>1620756.4780000001</v>
      </c>
      <c r="R5" s="20">
        <v>798923</v>
      </c>
      <c r="S5" s="20">
        <v>658452</v>
      </c>
      <c r="T5" s="20">
        <v>639535</v>
      </c>
      <c r="U5" s="20">
        <v>518065</v>
      </c>
      <c r="V5" s="20">
        <v>438866</v>
      </c>
      <c r="W5" s="20">
        <v>348910</v>
      </c>
      <c r="X5" s="20">
        <v>365258</v>
      </c>
      <c r="Y5" s="20">
        <v>416391</v>
      </c>
      <c r="Z5" s="20">
        <v>501222</v>
      </c>
      <c r="AA5" s="20">
        <v>608094</v>
      </c>
      <c r="AB5" s="20">
        <v>664114</v>
      </c>
      <c r="AC5" s="20">
        <v>733119</v>
      </c>
      <c r="AD5" s="20">
        <f>SUM(Tableau13[[#This Row],[Conso-1]:[Conso-12]])</f>
        <v>6690949</v>
      </c>
      <c r="AE5" s="27">
        <f>IFERROR(Tableau13[[#This Row],[TOTAL TTC + rattrapage amortisseur tarifaire sur les PDL&gt;36]]/Tableau13[[#This Row],[TOTAL CONSO]],"")</f>
        <v>0.2422311809580375</v>
      </c>
    </row>
    <row r="6" spans="1:33" x14ac:dyDescent="0.35">
      <c r="A6" s="16" t="s">
        <v>35</v>
      </c>
      <c r="B6" s="16" t="s">
        <v>36</v>
      </c>
      <c r="C6" s="16" t="s">
        <v>33</v>
      </c>
      <c r="D6" s="16" t="s">
        <v>42</v>
      </c>
      <c r="E6" s="17">
        <v>65012.616000000002</v>
      </c>
      <c r="F6" s="17">
        <v>53295.551999999996</v>
      </c>
      <c r="G6" s="17">
        <v>46551.492000000006</v>
      </c>
      <c r="H6" s="17">
        <v>-3104.1</v>
      </c>
      <c r="I6" s="17">
        <v>-5364.9240000000009</v>
      </c>
      <c r="J6" s="17">
        <v>-5008.6440000000002</v>
      </c>
      <c r="K6" s="17">
        <v>-5718.0839999999998</v>
      </c>
      <c r="L6" s="17">
        <v>-4815.6360000000004</v>
      </c>
      <c r="M6" s="17">
        <v>-1158.01</v>
      </c>
      <c r="N6" s="17">
        <v>6686.1480000000001</v>
      </c>
      <c r="O6" s="17">
        <v>56061.288</v>
      </c>
      <c r="P6" s="17">
        <v>63324.803999999996</v>
      </c>
      <c r="Q6" s="17">
        <f>SUM(Tableau13[[#This Row],[€TTC-1]:[€TTC-12]])+37543.248</f>
        <v>303305.75</v>
      </c>
      <c r="R6" s="20">
        <v>141759</v>
      </c>
      <c r="S6" s="20">
        <v>119687</v>
      </c>
      <c r="T6" s="20">
        <v>108684</v>
      </c>
      <c r="U6" s="20">
        <v>90237</v>
      </c>
      <c r="V6" s="20">
        <v>75057</v>
      </c>
      <c r="W6" s="21">
        <v>61769</v>
      </c>
      <c r="X6" s="20">
        <v>67472</v>
      </c>
      <c r="Y6" s="20">
        <v>79854</v>
      </c>
      <c r="Z6" s="20">
        <v>91870</v>
      </c>
      <c r="AA6" s="20">
        <v>112150</v>
      </c>
      <c r="AB6" s="20">
        <v>123934</v>
      </c>
      <c r="AC6" s="20">
        <v>138756</v>
      </c>
      <c r="AD6" s="20">
        <f>SUM(Tableau13[[#This Row],[Conso-1]:[Conso-12]])</f>
        <v>1211229</v>
      </c>
      <c r="AE6" s="27">
        <f>IFERROR(Tableau13[[#This Row],[TOTAL TTC + rattrapage amortisseur tarifaire sur les PDL&gt;36]]/Tableau13[[#This Row],[TOTAL CONSO]],"")</f>
        <v>0.2504115654430335</v>
      </c>
    </row>
    <row r="7" spans="1:33" x14ac:dyDescent="0.35">
      <c r="A7" s="16" t="s">
        <v>35</v>
      </c>
      <c r="B7" s="16" t="s">
        <v>36</v>
      </c>
      <c r="C7" s="16" t="s">
        <v>33</v>
      </c>
      <c r="D7" s="16" t="s">
        <v>43</v>
      </c>
      <c r="E7" s="17">
        <v>65359.667999999998</v>
      </c>
      <c r="F7" s="17">
        <v>52387.823999999993</v>
      </c>
      <c r="G7" s="17">
        <v>46064.495999999999</v>
      </c>
      <c r="H7" s="17">
        <v>-1875.7079999999999</v>
      </c>
      <c r="I7" s="17">
        <v>-3007.74</v>
      </c>
      <c r="J7" s="17">
        <v>-4456.116</v>
      </c>
      <c r="K7" s="17">
        <v>-4477.6080000000002</v>
      </c>
      <c r="L7" s="17">
        <v>-1407.288</v>
      </c>
      <c r="M7" s="17">
        <v>1840.548</v>
      </c>
      <c r="N7" s="17">
        <v>4522.884</v>
      </c>
      <c r="O7" s="17">
        <v>55379.387999999999</v>
      </c>
      <c r="P7" s="17">
        <v>58856.567999999999</v>
      </c>
      <c r="Q7" s="17">
        <f>SUM(Tableau13[[#This Row],[€TTC-1]:[€TTC-12]])+38371.008</f>
        <v>307557.924</v>
      </c>
      <c r="R7" s="20">
        <v>140229</v>
      </c>
      <c r="S7" s="20">
        <v>115679</v>
      </c>
      <c r="T7" s="20">
        <v>105349</v>
      </c>
      <c r="U7" s="20">
        <v>87738</v>
      </c>
      <c r="V7" s="20">
        <v>80045</v>
      </c>
      <c r="W7" s="20">
        <v>70852</v>
      </c>
      <c r="X7" s="20">
        <v>75680</v>
      </c>
      <c r="Y7" s="20">
        <v>85636</v>
      </c>
      <c r="Z7" s="20">
        <v>94791</v>
      </c>
      <c r="AA7" s="20">
        <v>112159</v>
      </c>
      <c r="AB7" s="20">
        <v>119241</v>
      </c>
      <c r="AC7" s="20">
        <v>126566</v>
      </c>
      <c r="AD7" s="20">
        <f>SUM(Tableau13[[#This Row],[Conso-1]:[Conso-12]])</f>
        <v>1213965</v>
      </c>
      <c r="AE7" s="27">
        <f>IFERROR(Tableau13[[#This Row],[TOTAL TTC + rattrapage amortisseur tarifaire sur les PDL&gt;36]]/Tableau13[[#This Row],[TOTAL CONSO]],"")</f>
        <v>0.25334991041751614</v>
      </c>
    </row>
    <row r="8" spans="1:33" x14ac:dyDescent="0.35">
      <c r="A8" s="16" t="s">
        <v>35</v>
      </c>
      <c r="B8" s="16" t="s">
        <v>36</v>
      </c>
      <c r="C8" s="16" t="s">
        <v>33</v>
      </c>
      <c r="D8" s="16" t="s">
        <v>44</v>
      </c>
      <c r="E8" s="17">
        <v>65051.652000000002</v>
      </c>
      <c r="F8" s="17">
        <v>39968.807999999997</v>
      </c>
      <c r="G8" s="17">
        <v>28808.496000000003</v>
      </c>
      <c r="H8" s="17">
        <v>3417.4080000000004</v>
      </c>
      <c r="I8" s="17">
        <v>-4692.7919999999995</v>
      </c>
      <c r="J8" s="17">
        <v>-4321.2479999999996</v>
      </c>
      <c r="K8" s="17">
        <v>-4890.2759999999998</v>
      </c>
      <c r="L8" s="17">
        <v>-3926.6040000000003</v>
      </c>
      <c r="M8" s="17">
        <v>-916.62</v>
      </c>
      <c r="N8" s="17">
        <v>1726.4160000000002</v>
      </c>
      <c r="O8" s="17">
        <v>47274</v>
      </c>
      <c r="P8" s="17">
        <v>53009.063999999998</v>
      </c>
      <c r="Q8" s="17">
        <f>SUM(Tableau13[[#This Row],[€TTC-1]:[€TTC-12]])+32017.2</f>
        <v>252525.50400000002</v>
      </c>
      <c r="R8" s="20">
        <v>144404</v>
      </c>
      <c r="S8" s="20">
        <v>91582</v>
      </c>
      <c r="T8" s="20">
        <v>100264</v>
      </c>
      <c r="U8" s="20">
        <v>52927</v>
      </c>
      <c r="V8" s="20">
        <v>63622</v>
      </c>
      <c r="W8" s="21">
        <v>52272</v>
      </c>
      <c r="X8" s="20">
        <v>57358</v>
      </c>
      <c r="Y8" s="20">
        <v>68185</v>
      </c>
      <c r="Z8" s="20">
        <v>79041</v>
      </c>
      <c r="AA8" s="20">
        <v>95690</v>
      </c>
      <c r="AB8" s="20">
        <v>104640</v>
      </c>
      <c r="AC8" s="20">
        <v>116602</v>
      </c>
      <c r="AD8" s="20">
        <f>SUM(Tableau13[[#This Row],[Conso-1]:[Conso-12]])</f>
        <v>1026587</v>
      </c>
      <c r="AE8" s="27">
        <f>IFERROR(Tableau13[[#This Row],[TOTAL TTC + rattrapage amortisseur tarifaire sur les PDL&gt;36]]/Tableau13[[#This Row],[TOTAL CONSO]],"")</f>
        <v>0.24598548783493265</v>
      </c>
    </row>
    <row r="9" spans="1:33" x14ac:dyDescent="0.35">
      <c r="A9" s="16" t="s">
        <v>35</v>
      </c>
      <c r="B9" s="16" t="s">
        <v>36</v>
      </c>
      <c r="C9" s="16" t="s">
        <v>33</v>
      </c>
      <c r="D9" s="16" t="s">
        <v>45</v>
      </c>
      <c r="E9" s="17">
        <v>15789.407999999999</v>
      </c>
      <c r="F9" s="17">
        <v>13606.151999999998</v>
      </c>
      <c r="G9" s="17">
        <v>10855.212</v>
      </c>
      <c r="H9" s="17">
        <v>690.97199999999998</v>
      </c>
      <c r="I9" s="17">
        <v>380.49599999999998</v>
      </c>
      <c r="J9" s="17">
        <v>738.68400000000008</v>
      </c>
      <c r="K9" s="17">
        <v>1119.876</v>
      </c>
      <c r="L9" s="17">
        <v>1453.44</v>
      </c>
      <c r="M9" s="17">
        <v>1457.9760000000001</v>
      </c>
      <c r="N9" s="17">
        <v>1590.732</v>
      </c>
      <c r="O9" s="17">
        <v>4265.7719999999999</v>
      </c>
      <c r="P9" s="17">
        <v>2802.1439999999998</v>
      </c>
      <c r="Q9" s="17">
        <f>SUM(Tableau13[[#This Row],[€TTC-1]:[€TTC-12]])+53.364</f>
        <v>54804.228000000003</v>
      </c>
      <c r="R9" s="20">
        <v>32219</v>
      </c>
      <c r="S9" s="20">
        <v>28626</v>
      </c>
      <c r="T9" s="20">
        <v>22780</v>
      </c>
      <c r="U9" s="20">
        <v>16313</v>
      </c>
      <c r="V9" s="20">
        <v>12741</v>
      </c>
      <c r="W9" s="21">
        <v>6416</v>
      </c>
      <c r="X9" s="20">
        <v>3171</v>
      </c>
      <c r="Y9" s="20">
        <v>2626</v>
      </c>
      <c r="Z9" s="20">
        <v>3532</v>
      </c>
      <c r="AA9" s="20">
        <v>5599</v>
      </c>
      <c r="AB9" s="20">
        <v>6408</v>
      </c>
      <c r="AC9" s="20">
        <v>3007</v>
      </c>
      <c r="AD9" s="20">
        <f>SUM(Tableau13[[#This Row],[Conso-1]:[Conso-12]])</f>
        <v>143438</v>
      </c>
      <c r="AE9" s="27">
        <f>IFERROR(Tableau13[[#This Row],[TOTAL TTC + rattrapage amortisseur tarifaire sur les PDL&gt;36]]/Tableau13[[#This Row],[TOTAL CONSO]],"")</f>
        <v>0.38207607468034971</v>
      </c>
    </row>
    <row r="10" spans="1:33" x14ac:dyDescent="0.35">
      <c r="A10" s="16" t="s">
        <v>35</v>
      </c>
      <c r="B10" s="16" t="s">
        <v>36</v>
      </c>
      <c r="C10" s="16" t="s">
        <v>33</v>
      </c>
      <c r="D10" s="16" t="s">
        <v>38</v>
      </c>
      <c r="E10" s="17">
        <v>4522.884</v>
      </c>
      <c r="F10" s="17">
        <v>5032.4879999999994</v>
      </c>
      <c r="G10" s="17">
        <v>5052.4799999999996</v>
      </c>
      <c r="H10" s="17">
        <v>2723.1360000000004</v>
      </c>
      <c r="I10" s="17">
        <v>1790.7</v>
      </c>
      <c r="J10" s="17">
        <v>1632.1439999999998</v>
      </c>
      <c r="K10" s="17">
        <v>1591.7640000000001</v>
      </c>
      <c r="L10" s="17">
        <v>1442.33</v>
      </c>
      <c r="M10" s="17">
        <v>1876.14</v>
      </c>
      <c r="N10" s="17">
        <v>1796.748</v>
      </c>
      <c r="O10" s="17">
        <v>3840.4679999999998</v>
      </c>
      <c r="P10" s="17">
        <f>4887.336+2194.34</f>
        <v>7081.6760000000004</v>
      </c>
      <c r="Q10" s="17">
        <f>SUM(Tableau13[[#This Row],[€TTC-1]:[€TTC-12]])+1830.816</f>
        <v>40213.773999999998</v>
      </c>
      <c r="R10" s="20">
        <v>9505</v>
      </c>
      <c r="S10" s="20">
        <v>8825</v>
      </c>
      <c r="T10" s="20">
        <v>9018</v>
      </c>
      <c r="U10" s="20">
        <v>8358</v>
      </c>
      <c r="V10" s="20">
        <v>7363</v>
      </c>
      <c r="W10" s="20">
        <v>7395</v>
      </c>
      <c r="X10" s="20">
        <v>6991</v>
      </c>
      <c r="Y10" s="20">
        <v>6949</v>
      </c>
      <c r="Z10" s="20">
        <v>6943</v>
      </c>
      <c r="AA10" s="20">
        <v>7712</v>
      </c>
      <c r="AB10" s="20">
        <v>8177</v>
      </c>
      <c r="AC10" s="20">
        <f>8620+2854</f>
        <v>11474</v>
      </c>
      <c r="AD10" s="20">
        <f>SUM(Tableau13[[#This Row],[Conso-1]:[Conso-12]])</f>
        <v>98710</v>
      </c>
      <c r="AE10" s="27">
        <f>IFERROR(Tableau13[[#This Row],[TOTAL TTC + rattrapage amortisseur tarifaire sur les PDL&gt;36]]/Tableau13[[#This Row],[TOTAL CONSO]],"")</f>
        <v>0.4073931111336237</v>
      </c>
    </row>
    <row r="11" spans="1:33" x14ac:dyDescent="0.35">
      <c r="S11" s="19"/>
      <c r="T11" s="19"/>
      <c r="U11" s="19"/>
    </row>
    <row r="12" spans="1:33" x14ac:dyDescent="0.35">
      <c r="V12" s="19"/>
    </row>
    <row r="13" spans="1:33" x14ac:dyDescent="0.35"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3" x14ac:dyDescent="0.35"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</row>
    <row r="15" spans="1:33" x14ac:dyDescent="0.35"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</row>
    <row r="17" spans="17:30" x14ac:dyDescent="0.35">
      <c r="Q17" s="32"/>
      <c r="AD17" s="19"/>
    </row>
    <row r="18" spans="17:30" x14ac:dyDescent="0.35">
      <c r="Q18" s="32"/>
    </row>
    <row r="20" spans="17:30" x14ac:dyDescent="0.35">
      <c r="Q20" s="32"/>
      <c r="AD20" s="20" t="e">
        <f>AD17/D17*D20</f>
        <v>#DIV/0!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AF15"/>
  <sheetViews>
    <sheetView zoomScale="85" zoomScaleNormal="85" workbookViewId="0">
      <pane xSplit="4" ySplit="3" topLeftCell="Q4" activePane="bottomRight" state="frozen"/>
      <selection activeCell="C1" sqref="C1"/>
      <selection pane="topRight" activeCell="G1" sqref="G1"/>
      <selection pane="bottomLeft" activeCell="C4" sqref="C4"/>
      <selection pane="bottomRight" activeCell="D6" sqref="D6"/>
    </sheetView>
  </sheetViews>
  <sheetFormatPr baseColWidth="10" defaultRowHeight="14.5" outlineLevelCol="1" x14ac:dyDescent="0.35"/>
  <cols>
    <col min="1" max="1" width="9.7265625" hidden="1" customWidth="1" outlineLevel="1"/>
    <col min="2" max="2" width="13.54296875" hidden="1" customWidth="1" outlineLevel="1" collapsed="1"/>
    <col min="3" max="3" width="12.81640625" bestFit="1" customWidth="1" collapsed="1"/>
    <col min="4" max="4" width="20.81640625" bestFit="1" customWidth="1"/>
    <col min="5" max="16" width="10.54296875" hidden="1" customWidth="1" outlineLevel="1"/>
    <col min="17" max="17" width="12.453125" style="9" customWidth="1" collapsed="1"/>
    <col min="18" max="18" width="10.453125" hidden="1" customWidth="1" outlineLevel="1"/>
    <col min="19" max="25" width="12.1796875" hidden="1" customWidth="1" outlineLevel="1"/>
    <col min="26" max="26" width="13.1796875" hidden="1" customWidth="1" outlineLevel="1"/>
    <col min="27" max="27" width="14.1796875" hidden="1" customWidth="1" outlineLevel="1"/>
    <col min="28" max="28" width="10.81640625" hidden="1" customWidth="1" outlineLevel="1"/>
    <col min="29" max="29" width="12.7265625" hidden="1" customWidth="1" outlineLevel="1"/>
    <col min="30" max="30" width="12.81640625" customWidth="1" collapsed="1"/>
    <col min="31" max="31" width="11.26953125" style="28" bestFit="1" customWidth="1"/>
    <col min="32" max="32" width="59.453125" bestFit="1" customWidth="1"/>
  </cols>
  <sheetData>
    <row r="1" spans="1:32" s="16" customFormat="1" x14ac:dyDescent="0.35">
      <c r="D1" s="22"/>
      <c r="AE1" s="29"/>
    </row>
    <row r="2" spans="1:32" x14ac:dyDescent="0.35">
      <c r="D2" s="22" t="s">
        <v>40</v>
      </c>
      <c r="Q2" s="30">
        <f>SUBTOTAL(9,Tableau1[TOTAL TTC])</f>
        <v>3081719.2753333333</v>
      </c>
      <c r="AD2" s="23">
        <f>SUBTOTAL(9,Tableau1[TOTAL CONSO])</f>
        <v>20202935.666666668</v>
      </c>
      <c r="AE2" s="35">
        <f>Q2/AD2</f>
        <v>0.15253819178457018</v>
      </c>
    </row>
    <row r="3" spans="1:32" s="3" customFormat="1" x14ac:dyDescent="0.35">
      <c r="A3" s="10" t="s">
        <v>31</v>
      </c>
      <c r="B3" s="10" t="s">
        <v>0</v>
      </c>
      <c r="C3" s="10" t="s">
        <v>1</v>
      </c>
      <c r="D3" s="10" t="s">
        <v>2</v>
      </c>
      <c r="E3" s="2" t="s">
        <v>15</v>
      </c>
      <c r="F3" s="2" t="s">
        <v>16</v>
      </c>
      <c r="G3" s="2" t="s">
        <v>17</v>
      </c>
      <c r="H3" s="2" t="s">
        <v>18</v>
      </c>
      <c r="I3" s="2" t="s">
        <v>19</v>
      </c>
      <c r="J3" s="2" t="s">
        <v>20</v>
      </c>
      <c r="K3" s="2" t="s">
        <v>21</v>
      </c>
      <c r="L3" s="2" t="s">
        <v>22</v>
      </c>
      <c r="M3" s="2" t="s">
        <v>23</v>
      </c>
      <c r="N3" s="2" t="s">
        <v>24</v>
      </c>
      <c r="O3" s="2" t="s">
        <v>25</v>
      </c>
      <c r="P3" s="2" t="s">
        <v>26</v>
      </c>
      <c r="Q3" s="2" t="s">
        <v>27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12</v>
      </c>
      <c r="AB3" s="1" t="s">
        <v>13</v>
      </c>
      <c r="AC3" s="1" t="s">
        <v>14</v>
      </c>
      <c r="AD3" s="1" t="s">
        <v>28</v>
      </c>
      <c r="AE3" s="25" t="s">
        <v>29</v>
      </c>
      <c r="AF3" s="34" t="s">
        <v>41</v>
      </c>
    </row>
    <row r="4" spans="1:32" x14ac:dyDescent="0.35">
      <c r="A4" s="4" t="s">
        <v>32</v>
      </c>
      <c r="B4" s="4" t="s">
        <v>30</v>
      </c>
      <c r="C4" t="s">
        <v>33</v>
      </c>
      <c r="D4" t="s">
        <v>34</v>
      </c>
      <c r="E4" s="17">
        <f>402789.71/3*2</f>
        <v>268526.47333333333</v>
      </c>
      <c r="F4" s="17">
        <v>120559.11</v>
      </c>
      <c r="G4" s="17">
        <v>890.2</v>
      </c>
      <c r="H4" s="17">
        <v>136996.53</v>
      </c>
      <c r="I4" s="17">
        <v>121283</v>
      </c>
      <c r="J4" s="17">
        <f>92940.45+861.61</f>
        <v>93802.06</v>
      </c>
      <c r="K4" s="17">
        <v>124743.77</v>
      </c>
      <c r="L4" s="12">
        <v>84756.52</v>
      </c>
      <c r="M4" s="12"/>
      <c r="N4" s="12">
        <v>306357.76999999996</v>
      </c>
      <c r="O4" s="12">
        <v>67883.22</v>
      </c>
      <c r="P4" s="12">
        <v>213834.69999999998</v>
      </c>
      <c r="Q4" s="14">
        <f>SUM(Tableau1[[#This Row],[€TTC-1]:[€TTC-12]])</f>
        <v>1539633.3533333333</v>
      </c>
      <c r="R4" s="20"/>
      <c r="S4" s="20">
        <f>2792251/3*2</f>
        <v>1861500.6666666667</v>
      </c>
      <c r="T4" s="20">
        <v>3882</v>
      </c>
      <c r="U4" s="20">
        <v>706380</v>
      </c>
      <c r="V4" s="20">
        <v>619511</v>
      </c>
      <c r="W4" s="20">
        <v>446950</v>
      </c>
      <c r="X4" s="20">
        <v>563911</v>
      </c>
      <c r="Y4" s="20">
        <v>456050</v>
      </c>
      <c r="Z4" s="20"/>
      <c r="AA4" s="20">
        <v>1629286</v>
      </c>
      <c r="AB4" s="20">
        <v>408410</v>
      </c>
      <c r="AC4" s="20">
        <v>1377771</v>
      </c>
      <c r="AD4" s="20">
        <f>SUM(Tableau1[[#This Row],[Conso-1]:[Conso-12]])</f>
        <v>8073651.666666667</v>
      </c>
      <c r="AE4" s="26">
        <f>IFERROR(Tableau1[[#This Row],[TOTAL TTC]]/Tableau1[[#This Row],[TOTAL CONSO]],"")</f>
        <v>0.190698511268445</v>
      </c>
      <c r="AF4" s="16" t="s">
        <v>48</v>
      </c>
    </row>
    <row r="5" spans="1:32" x14ac:dyDescent="0.35">
      <c r="A5" s="5" t="s">
        <v>35</v>
      </c>
      <c r="B5" s="5" t="s">
        <v>36</v>
      </c>
      <c r="C5" s="5" t="s">
        <v>33</v>
      </c>
      <c r="D5" t="s">
        <v>37</v>
      </c>
      <c r="E5" s="17">
        <v>218204.21</v>
      </c>
      <c r="F5" s="17">
        <v>159180.06</v>
      </c>
      <c r="G5" s="17">
        <v>150252.56</v>
      </c>
      <c r="H5" s="17">
        <v>31781.26</v>
      </c>
      <c r="I5" s="17">
        <v>3718.73</v>
      </c>
      <c r="J5" s="17">
        <v>1900.88</v>
      </c>
      <c r="K5" s="17">
        <v>2478.83</v>
      </c>
      <c r="L5" s="12">
        <v>7790.53</v>
      </c>
      <c r="M5" s="12">
        <v>14166.575999999999</v>
      </c>
      <c r="N5" s="12">
        <v>20605.848000000002</v>
      </c>
      <c r="O5" s="12">
        <v>145891.38</v>
      </c>
      <c r="P5" s="12">
        <v>161250.372</v>
      </c>
      <c r="Q5" s="14">
        <f>SUM(Tableau1[[#This Row],[€TTC-1]:[€TTC-12]])</f>
        <v>917221.23600000003</v>
      </c>
      <c r="R5" s="20">
        <v>850887</v>
      </c>
      <c r="S5" s="20">
        <v>695605</v>
      </c>
      <c r="T5" s="20">
        <v>669791</v>
      </c>
      <c r="U5" s="20">
        <v>547399</v>
      </c>
      <c r="V5" s="20">
        <v>472861</v>
      </c>
      <c r="W5" s="20">
        <v>408916</v>
      </c>
      <c r="X5" s="20">
        <v>446560</v>
      </c>
      <c r="Y5" s="20">
        <v>533871</v>
      </c>
      <c r="Z5" s="20">
        <v>605481</v>
      </c>
      <c r="AA5" s="20">
        <v>715153</v>
      </c>
      <c r="AB5" s="20">
        <v>762443</v>
      </c>
      <c r="AC5" s="20">
        <v>832139</v>
      </c>
      <c r="AD5" s="20">
        <f>SUM(Tableau1[[#This Row],[Conso-1]:[Conso-12]])</f>
        <v>7541106</v>
      </c>
      <c r="AE5" s="27">
        <f>IFERROR(Tableau1[[#This Row],[TOTAL TTC]]/Tableau1[[#This Row],[TOTAL CONSO]],"")</f>
        <v>0.12162953763015664</v>
      </c>
      <c r="AF5" s="16"/>
    </row>
    <row r="6" spans="1:32" x14ac:dyDescent="0.35">
      <c r="A6" s="6" t="s">
        <v>35</v>
      </c>
      <c r="B6" s="6" t="s">
        <v>36</v>
      </c>
      <c r="C6" s="6" t="s">
        <v>33</v>
      </c>
      <c r="D6" s="16" t="s">
        <v>49</v>
      </c>
      <c r="E6" s="17">
        <v>14202.18</v>
      </c>
      <c r="F6" s="17">
        <v>10199.42</v>
      </c>
      <c r="G6" s="17">
        <v>10098.25</v>
      </c>
      <c r="H6" s="17">
        <v>3500.76</v>
      </c>
      <c r="I6" s="17">
        <v>1938.4079999999999</v>
      </c>
      <c r="J6" s="17">
        <v>1949.6280000000002</v>
      </c>
      <c r="K6" s="17">
        <v>1547.16</v>
      </c>
      <c r="L6" s="12">
        <v>1697.7239999999999</v>
      </c>
      <c r="M6" s="12">
        <v>2657.52</v>
      </c>
      <c r="N6" s="12">
        <v>2778.27</v>
      </c>
      <c r="O6" s="12">
        <v>0</v>
      </c>
      <c r="P6" s="12">
        <v>0</v>
      </c>
      <c r="Q6" s="14">
        <f>SUM(Tableau1[[#This Row],[€TTC-1]:[€TTC-12]])</f>
        <v>50569.32</v>
      </c>
      <c r="R6" s="20">
        <v>49397</v>
      </c>
      <c r="S6" s="20">
        <v>38698</v>
      </c>
      <c r="T6" s="20">
        <v>38118</v>
      </c>
      <c r="U6" s="20">
        <v>31726</v>
      </c>
      <c r="V6" s="20">
        <v>28589</v>
      </c>
      <c r="W6" s="20">
        <v>26299</v>
      </c>
      <c r="X6" s="20">
        <v>22303</v>
      </c>
      <c r="Y6" s="20">
        <v>22836</v>
      </c>
      <c r="Z6" s="20">
        <v>33954</v>
      </c>
      <c r="AA6" s="20">
        <v>32253</v>
      </c>
      <c r="AB6" s="20">
        <v>0</v>
      </c>
      <c r="AC6" s="20">
        <v>0</v>
      </c>
      <c r="AD6" s="20">
        <f>SUM(Tableau1[[#This Row],[Conso-1]:[Conso-12]])</f>
        <v>324173</v>
      </c>
      <c r="AE6" s="27">
        <f>IFERROR(Tableau1[[#This Row],[TOTAL TTC]]/Tableau1[[#This Row],[TOTAL CONSO]],"")</f>
        <v>0.15599485459924176</v>
      </c>
      <c r="AF6" s="16" t="s">
        <v>46</v>
      </c>
    </row>
    <row r="7" spans="1:32" x14ac:dyDescent="0.35">
      <c r="A7" s="7" t="s">
        <v>35</v>
      </c>
      <c r="B7" s="7" t="s">
        <v>36</v>
      </c>
      <c r="C7" t="s">
        <v>33</v>
      </c>
      <c r="D7" s="16" t="s">
        <v>42</v>
      </c>
      <c r="E7" s="17">
        <v>37934.892</v>
      </c>
      <c r="F7" s="17">
        <v>27316.008000000002</v>
      </c>
      <c r="G7" s="17">
        <v>26454.959999999999</v>
      </c>
      <c r="H7" s="17">
        <v>6249.0720000000001</v>
      </c>
      <c r="I7" s="17">
        <v>1069.9080000000001</v>
      </c>
      <c r="J7" s="17">
        <v>662.60399999999993</v>
      </c>
      <c r="K7" s="17">
        <v>831.3</v>
      </c>
      <c r="L7" s="12">
        <v>1916.3879999999999</v>
      </c>
      <c r="M7" s="12">
        <v>2700.3360000000002</v>
      </c>
      <c r="N7" s="12">
        <v>4255.4160000000002</v>
      </c>
      <c r="O7" s="12">
        <v>26912.543999999998</v>
      </c>
      <c r="P7" s="12">
        <v>29267.592000000001</v>
      </c>
      <c r="Q7" s="14">
        <f>SUM(Tableau1[[#This Row],[€TTC-1]:[€TTC-12]])</f>
        <v>165571.02000000002</v>
      </c>
      <c r="R7" s="20">
        <v>144530</v>
      </c>
      <c r="S7" s="20">
        <v>115796</v>
      </c>
      <c r="T7" s="20">
        <v>114848</v>
      </c>
      <c r="U7" s="20">
        <v>98063</v>
      </c>
      <c r="V7" s="20">
        <v>85211</v>
      </c>
      <c r="W7" s="21">
        <v>74020</v>
      </c>
      <c r="X7" s="20">
        <v>80414</v>
      </c>
      <c r="Y7" s="20">
        <v>93070</v>
      </c>
      <c r="Z7" s="20">
        <v>102264</v>
      </c>
      <c r="AA7" s="20">
        <v>125916</v>
      </c>
      <c r="AB7" s="20">
        <v>136749</v>
      </c>
      <c r="AC7" s="20">
        <v>146943</v>
      </c>
      <c r="AD7" s="20">
        <f>SUM(Tableau1[[#This Row],[Conso-1]:[Conso-12]])</f>
        <v>1317824</v>
      </c>
      <c r="AE7" s="27">
        <f>IFERROR(Tableau1[[#This Row],[TOTAL TTC]]/Tableau1[[#This Row],[TOTAL CONSO]],"")</f>
        <v>0.12563970606090041</v>
      </c>
      <c r="AF7" s="20"/>
    </row>
    <row r="8" spans="1:32" x14ac:dyDescent="0.35">
      <c r="A8" s="8" t="s">
        <v>35</v>
      </c>
      <c r="B8" s="8" t="s">
        <v>36</v>
      </c>
      <c r="C8" t="s">
        <v>33</v>
      </c>
      <c r="D8" s="16" t="s">
        <v>43</v>
      </c>
      <c r="E8" s="17">
        <v>40340.676000000007</v>
      </c>
      <c r="F8" s="17">
        <v>30521.135999999999</v>
      </c>
      <c r="G8" s="17">
        <v>29276.064000000002</v>
      </c>
      <c r="H8" s="17">
        <v>7081.7640000000001</v>
      </c>
      <c r="I8" s="17">
        <v>1866.876</v>
      </c>
      <c r="J8" s="17">
        <v>1395.096</v>
      </c>
      <c r="K8" s="17">
        <v>1555.2959999999998</v>
      </c>
      <c r="L8" s="12">
        <v>2761.7759999999998</v>
      </c>
      <c r="M8" s="12">
        <v>3917.0159999999996</v>
      </c>
      <c r="N8" s="12">
        <v>5182.6799999999994</v>
      </c>
      <c r="O8" s="12">
        <v>27244.224000000002</v>
      </c>
      <c r="P8" s="12">
        <v>30201.456000000002</v>
      </c>
      <c r="Q8" s="14">
        <f>SUM(Tableau1[[#This Row],[€TTC-1]:[€TTC-12]])</f>
        <v>181344.06</v>
      </c>
      <c r="R8" s="20">
        <v>150897</v>
      </c>
      <c r="S8" s="20">
        <v>127462</v>
      </c>
      <c r="T8" s="20">
        <v>124170</v>
      </c>
      <c r="U8" s="20">
        <v>101490</v>
      </c>
      <c r="V8" s="20">
        <v>86463</v>
      </c>
      <c r="W8" s="20">
        <v>77778</v>
      </c>
      <c r="X8" s="20">
        <v>82388</v>
      </c>
      <c r="Y8" s="20">
        <v>95795</v>
      </c>
      <c r="Z8" s="20">
        <v>108185</v>
      </c>
      <c r="AA8" s="20">
        <v>126098</v>
      </c>
      <c r="AB8" s="20">
        <v>133979</v>
      </c>
      <c r="AC8" s="20">
        <v>146928</v>
      </c>
      <c r="AD8" s="20">
        <f>SUM(Tableau1[[#This Row],[Conso-1]:[Conso-12]])</f>
        <v>1361633</v>
      </c>
      <c r="AE8" s="27">
        <f>IFERROR(Tableau1[[#This Row],[TOTAL TTC]]/Tableau1[[#This Row],[TOTAL CONSO]],"")</f>
        <v>0.13318130509469145</v>
      </c>
      <c r="AF8" s="20"/>
    </row>
    <row r="9" spans="1:32" x14ac:dyDescent="0.35">
      <c r="A9" s="9" t="s">
        <v>35</v>
      </c>
      <c r="B9" s="9" t="s">
        <v>36</v>
      </c>
      <c r="C9" t="s">
        <v>33</v>
      </c>
      <c r="D9" s="16" t="s">
        <v>44</v>
      </c>
      <c r="E9" s="17">
        <v>32559.108</v>
      </c>
      <c r="F9" s="17">
        <v>23824.703999999998</v>
      </c>
      <c r="G9" s="17">
        <v>22554.792000000001</v>
      </c>
      <c r="H9" s="17">
        <v>4656.8639999999996</v>
      </c>
      <c r="I9" s="17">
        <v>764.44999999999993</v>
      </c>
      <c r="J9" s="17">
        <v>668.56799999999998</v>
      </c>
      <c r="K9" s="17">
        <v>1343.1479999999999</v>
      </c>
      <c r="L9" s="12"/>
      <c r="M9" s="12">
        <v>2262.3119999999999</v>
      </c>
      <c r="N9" s="12">
        <v>3576.0720000000001</v>
      </c>
      <c r="O9" s="12">
        <v>22081.956000000002</v>
      </c>
      <c r="P9" s="12">
        <v>24034.356</v>
      </c>
      <c r="Q9" s="14">
        <f>SUM(Tableau1[[#This Row],[€TTC-1]:[€TTC-12]])</f>
        <v>138326.33000000002</v>
      </c>
      <c r="R9" s="20">
        <v>123599</v>
      </c>
      <c r="S9" s="20">
        <v>101083</v>
      </c>
      <c r="T9" s="20">
        <v>97696</v>
      </c>
      <c r="U9" s="20">
        <v>77330</v>
      </c>
      <c r="V9" s="20">
        <v>77733</v>
      </c>
      <c r="W9" s="21">
        <v>67140</v>
      </c>
      <c r="X9" s="20">
        <v>68248</v>
      </c>
      <c r="Y9" s="20"/>
      <c r="Z9" s="20">
        <v>84760</v>
      </c>
      <c r="AA9" s="20">
        <v>106607</v>
      </c>
      <c r="AB9" s="20">
        <v>111868</v>
      </c>
      <c r="AC9" s="20">
        <v>119918</v>
      </c>
      <c r="AD9" s="20">
        <f>SUM(Tableau1[[#This Row],[Conso-1]:[Conso-12]])</f>
        <v>1035982</v>
      </c>
      <c r="AE9" s="27">
        <f>IFERROR(Tableau1[[#This Row],[TOTAL TTC]]/Tableau1[[#This Row],[TOTAL CONSO]],"")</f>
        <v>0.1335219434314496</v>
      </c>
      <c r="AF9" s="20"/>
    </row>
    <row r="10" spans="1:32" x14ac:dyDescent="0.35">
      <c r="A10" s="11" t="s">
        <v>35</v>
      </c>
      <c r="B10" s="11" t="s">
        <v>36</v>
      </c>
      <c r="C10" s="11" t="s">
        <v>33</v>
      </c>
      <c r="D10" s="16" t="s">
        <v>45</v>
      </c>
      <c r="E10" s="17">
        <v>17457.756000000001</v>
      </c>
      <c r="F10" s="17">
        <v>13398.336000000001</v>
      </c>
      <c r="G10" s="17">
        <v>11493.467999999999</v>
      </c>
      <c r="H10" s="17">
        <v>3159.1080000000002</v>
      </c>
      <c r="I10" s="17">
        <v>1056.6840000000002</v>
      </c>
      <c r="J10" s="17">
        <v>886.09199999999998</v>
      </c>
      <c r="K10" s="17">
        <v>996.9</v>
      </c>
      <c r="L10" s="12">
        <v>1406.808</v>
      </c>
      <c r="M10" s="12">
        <v>1703.6759999999999</v>
      </c>
      <c r="N10" s="12">
        <v>2005.4280000000001</v>
      </c>
      <c r="O10" s="12">
        <v>7159.8720000000003</v>
      </c>
      <c r="P10" s="12">
        <v>6686.1480000000001</v>
      </c>
      <c r="Q10" s="14">
        <f>SUM(Tableau1[[#This Row],[€TTC-1]:[€TTC-12]])</f>
        <v>67410.275999999998</v>
      </c>
      <c r="R10" s="20">
        <v>64409</v>
      </c>
      <c r="S10" s="20">
        <v>54672</v>
      </c>
      <c r="T10" s="20">
        <v>47096</v>
      </c>
      <c r="U10" s="20">
        <v>40154</v>
      </c>
      <c r="V10" s="20">
        <v>34400</v>
      </c>
      <c r="W10" s="21">
        <v>32378</v>
      </c>
      <c r="X10" s="20">
        <v>29766</v>
      </c>
      <c r="Y10" s="20">
        <v>30785</v>
      </c>
      <c r="Z10" s="20">
        <v>30937</v>
      </c>
      <c r="AA10" s="20">
        <v>33021</v>
      </c>
      <c r="AB10" s="20">
        <v>32052</v>
      </c>
      <c r="AC10" s="20">
        <v>28864</v>
      </c>
      <c r="AD10" s="20">
        <f>SUM(Tableau1[[#This Row],[Conso-1]:[Conso-12]])</f>
        <v>458534</v>
      </c>
      <c r="AE10" s="27">
        <f>IFERROR(Tableau1[[#This Row],[TOTAL TTC]]/Tableau1[[#This Row],[TOTAL CONSO]],"")</f>
        <v>0.14701260102849514</v>
      </c>
      <c r="AF10" s="20"/>
    </row>
    <row r="11" spans="1:32" x14ac:dyDescent="0.35">
      <c r="A11" t="s">
        <v>35</v>
      </c>
      <c r="B11" t="s">
        <v>36</v>
      </c>
      <c r="C11" t="s">
        <v>33</v>
      </c>
      <c r="D11" t="s">
        <v>38</v>
      </c>
      <c r="E11" s="17">
        <v>0</v>
      </c>
      <c r="F11" s="17">
        <v>6529.0319999999992</v>
      </c>
      <c r="G11" s="17">
        <v>2927.3399999999997</v>
      </c>
      <c r="H11" s="17">
        <v>2143.5479999999998</v>
      </c>
      <c r="I11" s="17">
        <v>1551.5640000000001</v>
      </c>
      <c r="J11" s="17">
        <v>1006.956</v>
      </c>
      <c r="K11" s="17">
        <v>1348.4880000000001</v>
      </c>
      <c r="L11" s="12">
        <v>1198.308</v>
      </c>
      <c r="M11" s="12">
        <v>1242.9000000000001</v>
      </c>
      <c r="N11" s="12">
        <v>1603.86</v>
      </c>
      <c r="O11" s="12">
        <v>2091.6840000000002</v>
      </c>
      <c r="P11" s="12"/>
      <c r="Q11" s="14">
        <f>SUM(Tableau1[[#This Row],[€TTC-1]:[€TTC-12]])</f>
        <v>21643.68</v>
      </c>
      <c r="R11" s="20">
        <v>0</v>
      </c>
      <c r="S11" s="20">
        <v>18058</v>
      </c>
      <c r="T11" s="20">
        <v>8770</v>
      </c>
      <c r="U11" s="20">
        <v>8577</v>
      </c>
      <c r="V11" s="20">
        <v>8030</v>
      </c>
      <c r="W11" s="20">
        <v>7058</v>
      </c>
      <c r="X11" s="20">
        <v>8686</v>
      </c>
      <c r="Y11" s="20">
        <v>6749</v>
      </c>
      <c r="Z11" s="20">
        <v>7093</v>
      </c>
      <c r="AA11" s="20">
        <v>8602</v>
      </c>
      <c r="AB11" s="20">
        <v>8409</v>
      </c>
      <c r="AC11" s="20"/>
      <c r="AD11" s="20">
        <f>SUM(Tableau1[[#This Row],[Conso-1]:[Conso-12]])</f>
        <v>90032</v>
      </c>
      <c r="AE11" s="27">
        <f>IFERROR(Tableau1[[#This Row],[TOTAL TTC]]/Tableau1[[#This Row],[TOTAL CONSO]],"")</f>
        <v>0.24039985782832771</v>
      </c>
      <c r="AF11" s="20"/>
    </row>
    <row r="13" spans="1:32" x14ac:dyDescent="0.35">
      <c r="D13" s="1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S13" s="19"/>
      <c r="T13" s="19"/>
      <c r="U13" s="19"/>
    </row>
    <row r="14" spans="1:32" x14ac:dyDescent="0.35">
      <c r="D14" s="1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V14" s="19"/>
    </row>
    <row r="15" spans="1:32" x14ac:dyDescent="0.35">
      <c r="D15" s="1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19"/>
      <c r="S15" s="19"/>
      <c r="T15" s="19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AF19"/>
  <sheetViews>
    <sheetView zoomScale="85" zoomScaleNormal="85" workbookViewId="0">
      <selection activeCell="A6" sqref="A6"/>
    </sheetView>
  </sheetViews>
  <sheetFormatPr baseColWidth="10" defaultColWidth="10.81640625" defaultRowHeight="14.5" outlineLevelCol="1" x14ac:dyDescent="0.35"/>
  <cols>
    <col min="1" max="1" width="12.81640625" style="16" bestFit="1" customWidth="1"/>
    <col min="2" max="2" width="20.81640625" style="16" bestFit="1" customWidth="1"/>
    <col min="3" max="12" width="10.54296875" style="16" hidden="1" customWidth="1" outlineLevel="1"/>
    <col min="13" max="13" width="10.54296875" style="16" hidden="1" customWidth="1" outlineLevel="1" collapsed="1"/>
    <col min="14" max="14" width="10.54296875" style="16" hidden="1" customWidth="1" outlineLevel="1"/>
    <col min="15" max="15" width="12.453125" style="16" customWidth="1" collapsed="1"/>
    <col min="16" max="16" width="10.453125" style="16" hidden="1" customWidth="1" outlineLevel="1"/>
    <col min="17" max="23" width="12.1796875" style="16" hidden="1" customWidth="1" outlineLevel="1"/>
    <col min="24" max="24" width="13.1796875" style="16" hidden="1" customWidth="1" outlineLevel="1"/>
    <col min="25" max="25" width="14.1796875" style="16" hidden="1" customWidth="1" outlineLevel="1"/>
    <col min="26" max="26" width="10.81640625" style="16" hidden="1" customWidth="1" outlineLevel="1" collapsed="1"/>
    <col min="27" max="27" width="12.7265625" style="16" hidden="1" customWidth="1" outlineLevel="1"/>
    <col min="28" max="28" width="12.81640625" style="16" customWidth="1" collapsed="1"/>
    <col min="29" max="29" width="11.26953125" style="28" bestFit="1" customWidth="1"/>
    <col min="30" max="30" width="10.81640625" style="16"/>
    <col min="31" max="31" width="12.1796875" style="16" bestFit="1" customWidth="1"/>
    <col min="32" max="32" width="13.1796875" style="16" bestFit="1" customWidth="1"/>
    <col min="33" max="16384" width="10.81640625" style="16"/>
  </cols>
  <sheetData>
    <row r="1" spans="1:32" x14ac:dyDescent="0.35">
      <c r="B1" s="22"/>
      <c r="AC1" s="29"/>
      <c r="AE1" s="32"/>
      <c r="AF1" s="33"/>
    </row>
    <row r="2" spans="1:32" x14ac:dyDescent="0.35">
      <c r="B2" s="22" t="s">
        <v>40</v>
      </c>
      <c r="O2" s="30">
        <f>SUBTOTAL(9,Tableau14[TOTAL TTC])</f>
        <v>2813367.1006666659</v>
      </c>
      <c r="AB2" s="23">
        <f>SUBTOTAL(9,Tableau14[TOTAL CONSO])</f>
        <v>20560742.333333332</v>
      </c>
      <c r="AC2" s="35">
        <f>O2/AB2</f>
        <v>0.13683198082326045</v>
      </c>
    </row>
    <row r="3" spans="1:32" s="13" customFormat="1" x14ac:dyDescent="0.35">
      <c r="A3" s="13" t="s">
        <v>1</v>
      </c>
      <c r="B3" s="13" t="s">
        <v>2</v>
      </c>
      <c r="C3" s="2" t="s">
        <v>15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1" t="s">
        <v>3</v>
      </c>
      <c r="Q3" s="1" t="s">
        <v>4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9</v>
      </c>
      <c r="W3" s="1" t="s">
        <v>10</v>
      </c>
      <c r="X3" s="1" t="s">
        <v>11</v>
      </c>
      <c r="Y3" s="1" t="s">
        <v>12</v>
      </c>
      <c r="Z3" s="1" t="s">
        <v>13</v>
      </c>
      <c r="AA3" s="1" t="s">
        <v>14</v>
      </c>
      <c r="AB3" s="1" t="s">
        <v>28</v>
      </c>
      <c r="AC3" s="25" t="s">
        <v>29</v>
      </c>
    </row>
    <row r="4" spans="1:32" x14ac:dyDescent="0.35">
      <c r="A4" s="16" t="s">
        <v>33</v>
      </c>
      <c r="B4" s="16" t="s">
        <v>34</v>
      </c>
      <c r="C4" s="17"/>
      <c r="D4" s="17">
        <v>86981.62</v>
      </c>
      <c r="E4" s="17">
        <v>224508.18</v>
      </c>
      <c r="F4" s="16">
        <v>105202.33</v>
      </c>
      <c r="G4" s="17">
        <v>156487.01</v>
      </c>
      <c r="H4" s="17"/>
      <c r="I4" s="17">
        <v>275907.46000000002</v>
      </c>
      <c r="J4" s="17"/>
      <c r="K4" s="17">
        <v>234201.24</v>
      </c>
      <c r="L4" s="17"/>
      <c r="M4" s="17">
        <v>95482.06</v>
      </c>
      <c r="N4" s="17">
        <f>402789.71/3</f>
        <v>134263.23666666666</v>
      </c>
      <c r="O4" s="14">
        <f>SUM(Tableau14[[#This Row],[€TTC-1]:[€TTC-12]])</f>
        <v>1313033.1366666667</v>
      </c>
      <c r="P4" s="31"/>
      <c r="Q4" s="16">
        <v>553937</v>
      </c>
      <c r="R4" s="16">
        <v>1229125</v>
      </c>
      <c r="S4" s="19">
        <v>685898</v>
      </c>
      <c r="T4" s="16">
        <v>826736</v>
      </c>
      <c r="U4" s="31"/>
      <c r="V4" s="31">
        <v>1795141</v>
      </c>
      <c r="W4" s="31"/>
      <c r="X4" s="31">
        <v>1322950</v>
      </c>
      <c r="Y4" s="31"/>
      <c r="Z4" s="31">
        <v>123719</v>
      </c>
      <c r="AA4" s="31">
        <f>2792251/3</f>
        <v>930750.33333333337</v>
      </c>
      <c r="AB4" s="20">
        <f>SUM(Tableau14[[#This Row],[Conso-1]:[Conso-12]])</f>
        <v>7468256.333333333</v>
      </c>
      <c r="AC4" s="26">
        <f>IFERROR(Tableau14[[#This Row],[TOTAL TTC]]/Tableau14[[#This Row],[TOTAL CONSO]],"")</f>
        <v>0.17581522085766652</v>
      </c>
    </row>
    <row r="5" spans="1:32" x14ac:dyDescent="0.35">
      <c r="A5" s="16" t="s">
        <v>33</v>
      </c>
      <c r="B5" s="16" t="s">
        <v>37</v>
      </c>
      <c r="C5" s="14">
        <v>110502.48</v>
      </c>
      <c r="D5" s="14">
        <v>91623.83</v>
      </c>
      <c r="E5" s="14">
        <v>83722.91</v>
      </c>
      <c r="F5" s="17">
        <v>53245.58</v>
      </c>
      <c r="G5" s="17">
        <v>46538.720000000001</v>
      </c>
      <c r="H5" s="17">
        <v>41088.769999999997</v>
      </c>
      <c r="I5" s="17">
        <v>44713.43</v>
      </c>
      <c r="J5" s="17">
        <v>51692.47</v>
      </c>
      <c r="K5" s="17">
        <v>57996.59</v>
      </c>
      <c r="L5" s="17">
        <v>69363.53</v>
      </c>
      <c r="M5" s="17">
        <v>99378.98000000001</v>
      </c>
      <c r="N5" s="17">
        <v>113669.89200000001</v>
      </c>
      <c r="O5" s="14">
        <f>SUM(Tableau14[[#This Row],[€TTC-1]:[€TTC-12]])</f>
        <v>863537.18200000003</v>
      </c>
      <c r="P5" s="20">
        <v>866759</v>
      </c>
      <c r="Q5" s="20">
        <v>724168</v>
      </c>
      <c r="R5" s="20">
        <v>690519</v>
      </c>
      <c r="S5" s="20">
        <v>555311</v>
      </c>
      <c r="T5" s="20">
        <v>491759</v>
      </c>
      <c r="U5" s="20">
        <v>434695</v>
      </c>
      <c r="V5" s="20">
        <v>473938</v>
      </c>
      <c r="W5" s="20">
        <v>542371</v>
      </c>
      <c r="X5" s="20">
        <v>600635</v>
      </c>
      <c r="Y5" s="20">
        <v>715990</v>
      </c>
      <c r="Z5" s="31">
        <v>794776</v>
      </c>
      <c r="AA5" s="31">
        <v>877654</v>
      </c>
      <c r="AB5" s="20">
        <f>SUM(Tableau14[[#This Row],[Conso-1]:[Conso-12]])</f>
        <v>7768575</v>
      </c>
      <c r="AC5" s="27">
        <f>IFERROR(Tableau14[[#This Row],[TOTAL TTC]]/Tableau14[[#This Row],[TOTAL CONSO]],"")</f>
        <v>0.11115773253138446</v>
      </c>
    </row>
    <row r="6" spans="1:32" x14ac:dyDescent="0.35">
      <c r="A6" s="16" t="s">
        <v>33</v>
      </c>
      <c r="B6" s="16" t="s">
        <v>49</v>
      </c>
      <c r="C6" s="17">
        <v>12001.15</v>
      </c>
      <c r="D6" s="17">
        <v>9763.74</v>
      </c>
      <c r="E6" s="17">
        <v>9707.99</v>
      </c>
      <c r="F6" s="17">
        <v>5043.72</v>
      </c>
      <c r="G6" s="17">
        <v>5348.89</v>
      </c>
      <c r="H6" s="17">
        <v>4335.32</v>
      </c>
      <c r="I6" s="17">
        <v>3986.48</v>
      </c>
      <c r="J6" s="17">
        <v>4171.3999999999996</v>
      </c>
      <c r="K6" s="17">
        <v>5374.3600000000006</v>
      </c>
      <c r="L6" s="17">
        <v>5823.3200000000006</v>
      </c>
      <c r="M6" s="17">
        <v>7766.78</v>
      </c>
      <c r="N6" s="17">
        <v>10068.696</v>
      </c>
      <c r="O6" s="14">
        <f>SUM(Tableau14[[#This Row],[€TTC-1]:[€TTC-12]])</f>
        <v>83391.846000000005</v>
      </c>
      <c r="P6" s="20">
        <v>86734</v>
      </c>
      <c r="Q6" s="20">
        <v>71113</v>
      </c>
      <c r="R6" s="20">
        <v>72922</v>
      </c>
      <c r="S6" s="20">
        <v>45965</v>
      </c>
      <c r="T6" s="20">
        <v>49252</v>
      </c>
      <c r="U6" s="20">
        <v>37755</v>
      </c>
      <c r="V6" s="20">
        <v>34280</v>
      </c>
      <c r="W6" s="20">
        <v>35473</v>
      </c>
      <c r="X6" s="20">
        <v>47609</v>
      </c>
      <c r="Y6" s="20">
        <v>52106</v>
      </c>
      <c r="Z6" s="31">
        <v>54635</v>
      </c>
      <c r="AA6" s="31">
        <v>54810</v>
      </c>
      <c r="AB6" s="20">
        <f>SUM(Tableau14[[#This Row],[Conso-1]:[Conso-12]])</f>
        <v>642654</v>
      </c>
      <c r="AC6" s="27">
        <f>IFERROR(Tableau14[[#This Row],[TOTAL TTC]]/Tableau14[[#This Row],[TOTAL CONSO]],"")</f>
        <v>0.1297616540160024</v>
      </c>
    </row>
    <row r="7" spans="1:32" x14ac:dyDescent="0.35">
      <c r="A7" s="16" t="s">
        <v>33</v>
      </c>
      <c r="B7" s="16" t="s">
        <v>42</v>
      </c>
      <c r="C7" s="17">
        <v>19418.87</v>
      </c>
      <c r="D7" s="17">
        <v>16145.04</v>
      </c>
      <c r="E7" s="17">
        <v>14832.91</v>
      </c>
      <c r="F7" s="17">
        <v>9648.32</v>
      </c>
      <c r="G7" s="17">
        <v>7910.54</v>
      </c>
      <c r="H7" s="17">
        <v>7189.78</v>
      </c>
      <c r="I7" s="17">
        <v>7650.94</v>
      </c>
      <c r="J7" s="17">
        <v>9115.4599999999991</v>
      </c>
      <c r="K7" s="17">
        <v>9956.69</v>
      </c>
      <c r="L7" s="17">
        <v>12449.4</v>
      </c>
      <c r="M7" s="17">
        <v>17178.59</v>
      </c>
      <c r="N7" s="17">
        <v>19009.932000000001</v>
      </c>
      <c r="O7" s="14">
        <f>SUM(Tableau14[[#This Row],[€TTC-1]:[€TTC-12]])</f>
        <v>150506.47200000001</v>
      </c>
      <c r="P7" s="20">
        <v>151951</v>
      </c>
      <c r="Q7" s="20">
        <v>127234</v>
      </c>
      <c r="R7" s="20">
        <v>121810</v>
      </c>
      <c r="S7" s="20">
        <v>99823</v>
      </c>
      <c r="T7" s="20">
        <v>81984</v>
      </c>
      <c r="U7" s="20">
        <v>75046</v>
      </c>
      <c r="V7" s="20">
        <v>79933</v>
      </c>
      <c r="W7" s="20">
        <v>94458</v>
      </c>
      <c r="X7" s="20">
        <v>101907</v>
      </c>
      <c r="Y7" s="20">
        <v>127838</v>
      </c>
      <c r="Z7" s="31">
        <v>137064</v>
      </c>
      <c r="AA7" s="31">
        <v>145603</v>
      </c>
      <c r="AB7" s="20">
        <f>SUM(Tableau14[[#This Row],[Conso-1]:[Conso-12]])</f>
        <v>1344651</v>
      </c>
      <c r="AC7" s="27">
        <f>IFERROR(Tableau14[[#This Row],[TOTAL TTC]]/Tableau14[[#This Row],[TOTAL CONSO]],"")</f>
        <v>0.11192976616237225</v>
      </c>
    </row>
    <row r="8" spans="1:32" x14ac:dyDescent="0.35">
      <c r="A8" s="16" t="s">
        <v>33</v>
      </c>
      <c r="B8" s="16" t="s">
        <v>43</v>
      </c>
      <c r="C8" s="17">
        <v>20464.149999999998</v>
      </c>
      <c r="D8" s="17">
        <v>17302.36</v>
      </c>
      <c r="E8" s="17">
        <v>16203.310000000001</v>
      </c>
      <c r="F8" s="17">
        <v>10897.15</v>
      </c>
      <c r="G8" s="17">
        <v>9390.5499999999993</v>
      </c>
      <c r="H8" s="17">
        <v>8138.99</v>
      </c>
      <c r="I8" s="17">
        <v>8715.48</v>
      </c>
      <c r="J8" s="17">
        <v>10178.240000000002</v>
      </c>
      <c r="K8" s="17">
        <v>11369.92</v>
      </c>
      <c r="L8" s="17">
        <v>13388.259999999998</v>
      </c>
      <c r="M8" s="17">
        <v>18343.010000000002</v>
      </c>
      <c r="N8" s="17">
        <v>21318.36</v>
      </c>
      <c r="O8" s="14">
        <f>SUM(Tableau14[[#This Row],[€TTC-1]:[€TTC-12]])</f>
        <v>165709.77999999997</v>
      </c>
      <c r="P8" s="20">
        <v>154205</v>
      </c>
      <c r="Q8" s="20">
        <v>131941</v>
      </c>
      <c r="R8" s="20">
        <v>127892</v>
      </c>
      <c r="S8" s="20">
        <v>107811</v>
      </c>
      <c r="T8" s="20">
        <v>93032</v>
      </c>
      <c r="U8" s="20">
        <v>79971</v>
      </c>
      <c r="V8" s="20">
        <v>85672</v>
      </c>
      <c r="W8" s="20">
        <v>99093</v>
      </c>
      <c r="X8" s="20">
        <v>111300</v>
      </c>
      <c r="Y8" s="20">
        <v>131466</v>
      </c>
      <c r="Z8" s="20">
        <v>141051</v>
      </c>
      <c r="AA8" s="20">
        <v>158644</v>
      </c>
      <c r="AB8" s="20">
        <f>SUM(Tableau14[[#This Row],[Conso-1]:[Conso-12]])</f>
        <v>1422078</v>
      </c>
      <c r="AC8" s="27">
        <f>IFERROR(Tableau14[[#This Row],[TOTAL TTC]]/Tableau14[[#This Row],[TOTAL CONSO]],"")</f>
        <v>0.1165265055784563</v>
      </c>
    </row>
    <row r="9" spans="1:32" x14ac:dyDescent="0.35">
      <c r="A9" s="16" t="s">
        <v>33</v>
      </c>
      <c r="B9" s="16" t="s">
        <v>44</v>
      </c>
      <c r="C9" s="17">
        <v>15642.36</v>
      </c>
      <c r="D9" s="17">
        <v>13213.96</v>
      </c>
      <c r="E9" s="17">
        <v>12243.25</v>
      </c>
      <c r="F9" s="17">
        <v>8011.93</v>
      </c>
      <c r="G9" s="17">
        <v>6583</v>
      </c>
      <c r="H9" s="17">
        <v>5641.7</v>
      </c>
      <c r="I9" s="17">
        <v>6247.63</v>
      </c>
      <c r="J9" s="17">
        <v>7097.77</v>
      </c>
      <c r="K9" s="17">
        <v>8382.76</v>
      </c>
      <c r="L9" s="17">
        <v>10399.359999999999</v>
      </c>
      <c r="M9" s="17">
        <v>14311.79</v>
      </c>
      <c r="N9" s="17">
        <v>15674.844000000001</v>
      </c>
      <c r="O9" s="14">
        <f>SUM(Tableau14[[#This Row],[€TTC-1]:[€TTC-12]])</f>
        <v>123450.35400000001</v>
      </c>
      <c r="P9" s="20">
        <v>122222</v>
      </c>
      <c r="Q9" s="20">
        <v>104112</v>
      </c>
      <c r="R9" s="20">
        <v>100579</v>
      </c>
      <c r="S9" s="20">
        <v>82811</v>
      </c>
      <c r="T9" s="20">
        <v>68247</v>
      </c>
      <c r="U9" s="20">
        <v>58300</v>
      </c>
      <c r="V9" s="20">
        <v>65042</v>
      </c>
      <c r="W9" s="20">
        <v>72955</v>
      </c>
      <c r="X9" s="20">
        <v>86187</v>
      </c>
      <c r="Y9" s="20">
        <v>107106</v>
      </c>
      <c r="Z9" s="20">
        <v>112940</v>
      </c>
      <c r="AA9" s="20">
        <v>118111</v>
      </c>
      <c r="AB9" s="20">
        <f>SUM(Tableau14[[#This Row],[Conso-1]:[Conso-12]])</f>
        <v>1098612</v>
      </c>
      <c r="AC9" s="27">
        <f>IFERROR(Tableau14[[#This Row],[TOTAL TTC]]/Tableau14[[#This Row],[TOTAL CONSO]],"")</f>
        <v>0.11236938427761577</v>
      </c>
    </row>
    <row r="10" spans="1:32" x14ac:dyDescent="0.35">
      <c r="A10" s="16" t="s">
        <v>33</v>
      </c>
      <c r="B10" s="16" t="s">
        <v>45</v>
      </c>
      <c r="C10" s="17">
        <v>11910.66</v>
      </c>
      <c r="D10" s="17">
        <v>8615.5</v>
      </c>
      <c r="E10" s="17">
        <v>7614.24</v>
      </c>
      <c r="F10" s="17">
        <v>5321.78</v>
      </c>
      <c r="G10" s="17">
        <v>4146.71</v>
      </c>
      <c r="H10" s="17">
        <v>3914.24</v>
      </c>
      <c r="I10" s="17">
        <v>4443.16</v>
      </c>
      <c r="J10" s="17">
        <v>5171.4799999999996</v>
      </c>
      <c r="K10" s="17">
        <v>5754.66</v>
      </c>
      <c r="L10" s="17">
        <v>6734.74</v>
      </c>
      <c r="M10" s="17">
        <v>8791.0400000000009</v>
      </c>
      <c r="N10" s="17">
        <v>9870.3599999999988</v>
      </c>
      <c r="O10" s="14">
        <f>SUM(Tableau14[[#This Row],[€TTC-1]:[€TTC-12]])</f>
        <v>82288.569999999992</v>
      </c>
      <c r="P10" s="20">
        <v>90540</v>
      </c>
      <c r="Q10" s="20">
        <v>64765</v>
      </c>
      <c r="R10" s="20">
        <v>58794</v>
      </c>
      <c r="S10" s="20">
        <v>50775</v>
      </c>
      <c r="T10" s="20">
        <v>38009</v>
      </c>
      <c r="U10" s="20">
        <v>36089</v>
      </c>
      <c r="V10" s="20">
        <v>41909</v>
      </c>
      <c r="W10" s="20">
        <v>48645</v>
      </c>
      <c r="X10" s="20">
        <v>54689</v>
      </c>
      <c r="Y10" s="20">
        <v>64449</v>
      </c>
      <c r="Z10" s="20">
        <v>66530</v>
      </c>
      <c r="AA10" s="20">
        <v>68515</v>
      </c>
      <c r="AB10" s="20">
        <f>SUM(Tableau14[[#This Row],[Conso-1]:[Conso-12]])</f>
        <v>683709</v>
      </c>
      <c r="AC10" s="27">
        <f>IFERROR(Tableau14[[#This Row],[TOTAL TTC]]/Tableau14[[#This Row],[TOTAL CONSO]],"")</f>
        <v>0.12035613104405528</v>
      </c>
    </row>
    <row r="11" spans="1:32" x14ac:dyDescent="0.35">
      <c r="A11" s="16" t="s">
        <v>33</v>
      </c>
      <c r="B11" s="16" t="s">
        <v>38</v>
      </c>
      <c r="C11" s="17"/>
      <c r="D11" s="17"/>
      <c r="E11" s="17">
        <v>585.35</v>
      </c>
      <c r="F11" s="17"/>
      <c r="G11" s="17"/>
      <c r="H11" s="17"/>
      <c r="I11" s="17"/>
      <c r="J11" s="17"/>
      <c r="K11" s="17">
        <v>22337.649999999998</v>
      </c>
      <c r="L11" s="17">
        <v>1828.82</v>
      </c>
      <c r="M11" s="17">
        <v>2914.99</v>
      </c>
      <c r="N11" s="17">
        <v>3782.95</v>
      </c>
      <c r="O11" s="14">
        <f>SUM(Tableau14[[#This Row],[€TTC-1]:[€TTC-12]])</f>
        <v>31449.759999999998</v>
      </c>
      <c r="P11" s="20"/>
      <c r="Q11" s="20"/>
      <c r="R11" s="20">
        <v>2673</v>
      </c>
      <c r="S11" s="20"/>
      <c r="T11" s="20"/>
      <c r="U11" s="20"/>
      <c r="V11" s="20"/>
      <c r="W11" s="20"/>
      <c r="X11" s="20">
        <v>88052</v>
      </c>
      <c r="Y11" s="20">
        <v>10415</v>
      </c>
      <c r="Z11" s="20">
        <v>11338</v>
      </c>
      <c r="AA11" s="20">
        <v>19729</v>
      </c>
      <c r="AB11" s="20">
        <f>SUM(Tableau14[[#This Row],[Conso-1]:[Conso-12]])</f>
        <v>132207</v>
      </c>
      <c r="AC11" s="27">
        <f>IFERROR(Tableau14[[#This Row],[TOTAL TTC]]/Tableau14[[#This Row],[TOTAL CONSO]],"")</f>
        <v>0.23788271422844479</v>
      </c>
    </row>
    <row r="13" spans="1:32" x14ac:dyDescent="0.35"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Q13" s="19"/>
      <c r="R13" s="19"/>
      <c r="S13" s="19"/>
    </row>
    <row r="14" spans="1:32" x14ac:dyDescent="0.35"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T14" s="19"/>
    </row>
    <row r="15" spans="1:32" x14ac:dyDescent="0.35"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19"/>
      <c r="Q15" s="19"/>
      <c r="R15" s="19"/>
    </row>
    <row r="16" spans="1:32" x14ac:dyDescent="0.35">
      <c r="D16" s="18"/>
      <c r="E16" s="18"/>
    </row>
    <row r="17" spans="3:5" x14ac:dyDescent="0.35">
      <c r="C17" s="14"/>
      <c r="D17" s="14"/>
      <c r="E17" s="14"/>
    </row>
    <row r="18" spans="3:5" x14ac:dyDescent="0.35">
      <c r="D18" s="14"/>
      <c r="E18" s="14"/>
    </row>
    <row r="19" spans="3:5" x14ac:dyDescent="0.35">
      <c r="D19" s="18"/>
      <c r="E19" s="18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H11"/>
  <sheetViews>
    <sheetView zoomScale="85" zoomScaleNormal="85" workbookViewId="0">
      <selection activeCell="B6" sqref="B6"/>
    </sheetView>
  </sheetViews>
  <sheetFormatPr baseColWidth="10" defaultColWidth="10.81640625" defaultRowHeight="14.5" x14ac:dyDescent="0.35"/>
  <cols>
    <col min="1" max="1" width="12.81640625" style="16" bestFit="1" customWidth="1"/>
    <col min="2" max="2" width="20.81640625" style="16" bestFit="1" customWidth="1"/>
    <col min="3" max="3" width="12.453125" style="16" customWidth="1"/>
    <col min="4" max="4" width="12.81640625" style="16" customWidth="1"/>
    <col min="5" max="5" width="11.26953125" style="28" bestFit="1" customWidth="1"/>
    <col min="6" max="6" width="10.81640625" style="16"/>
    <col min="7" max="7" width="12.1796875" style="16" bestFit="1" customWidth="1"/>
    <col min="8" max="8" width="13.1796875" style="16" bestFit="1" customWidth="1"/>
    <col min="9" max="16384" width="10.81640625" style="16"/>
  </cols>
  <sheetData>
    <row r="1" spans="1:8" x14ac:dyDescent="0.35">
      <c r="B1" s="22"/>
      <c r="E1" s="29"/>
      <c r="G1" s="32"/>
      <c r="H1" s="33"/>
    </row>
    <row r="2" spans="1:8" x14ac:dyDescent="0.35">
      <c r="B2" s="22" t="s">
        <v>40</v>
      </c>
      <c r="C2" s="30">
        <f>SUBTOTAL(9,Tableau145[TOTAL TTC])</f>
        <v>2293907.5010000002</v>
      </c>
      <c r="D2" s="23">
        <f>SUBTOTAL(9,Tableau145[TOTAL CONSO])</f>
        <v>21566635</v>
      </c>
      <c r="E2" s="24">
        <f>C2/D2</f>
        <v>0.10636371881844341</v>
      </c>
    </row>
    <row r="3" spans="1:8" s="13" customFormat="1" x14ac:dyDescent="0.35">
      <c r="A3" s="13" t="s">
        <v>1</v>
      </c>
      <c r="B3" s="13" t="s">
        <v>2</v>
      </c>
      <c r="C3" s="2" t="s">
        <v>27</v>
      </c>
      <c r="D3" s="1" t="s">
        <v>28</v>
      </c>
      <c r="E3" s="25" t="s">
        <v>29</v>
      </c>
    </row>
    <row r="4" spans="1:8" x14ac:dyDescent="0.35">
      <c r="A4" s="16" t="s">
        <v>33</v>
      </c>
      <c r="B4" s="16" t="s">
        <v>34</v>
      </c>
      <c r="C4" s="14">
        <v>982547.3600000001</v>
      </c>
      <c r="D4" s="20">
        <v>7823161</v>
      </c>
      <c r="E4" s="26">
        <f>IFERROR(Tableau145[[#This Row],[TOTAL TTC]]/Tableau145[[#This Row],[TOTAL CONSO]],"")</f>
        <v>0.12559467458230761</v>
      </c>
    </row>
    <row r="5" spans="1:8" x14ac:dyDescent="0.35">
      <c r="A5" s="16" t="s">
        <v>33</v>
      </c>
      <c r="B5" s="16" t="s">
        <v>37</v>
      </c>
      <c r="C5" s="14">
        <v>694662.02</v>
      </c>
      <c r="D5" s="20">
        <v>7824637</v>
      </c>
      <c r="E5" s="27">
        <f>IFERROR(Tableau145[[#This Row],[TOTAL TTC]]/Tableau145[[#This Row],[TOTAL CONSO]],"")</f>
        <v>8.8778817471021343E-2</v>
      </c>
    </row>
    <row r="6" spans="1:8" x14ac:dyDescent="0.35">
      <c r="A6" s="16" t="s">
        <v>33</v>
      </c>
      <c r="B6" s="16" t="s">
        <v>49</v>
      </c>
      <c r="C6" s="14">
        <v>93503.790000000023</v>
      </c>
      <c r="D6" s="20">
        <v>753243</v>
      </c>
      <c r="E6" s="27">
        <f>IFERROR(Tableau145[[#This Row],[TOTAL TTC]]/Tableau145[[#This Row],[TOTAL CONSO]],"")</f>
        <v>0.12413496043109597</v>
      </c>
    </row>
    <row r="7" spans="1:8" x14ac:dyDescent="0.35">
      <c r="A7" s="16" t="s">
        <v>33</v>
      </c>
      <c r="B7" s="16" t="s">
        <v>42</v>
      </c>
      <c r="C7" s="14">
        <v>128808.78</v>
      </c>
      <c r="D7" s="20">
        <v>1380749</v>
      </c>
      <c r="E7" s="27">
        <f>IFERROR(Tableau145[[#This Row],[TOTAL TTC]]/Tableau145[[#This Row],[TOTAL CONSO]],"")</f>
        <v>9.3289062675402989E-2</v>
      </c>
    </row>
    <row r="8" spans="1:8" x14ac:dyDescent="0.35">
      <c r="A8" s="16" t="s">
        <v>33</v>
      </c>
      <c r="B8" s="16" t="s">
        <v>43</v>
      </c>
      <c r="C8" s="14">
        <v>143366.15999999997</v>
      </c>
      <c r="D8" s="20">
        <v>1491273</v>
      </c>
      <c r="E8" s="27">
        <f>IFERROR(Tableau145[[#This Row],[TOTAL TTC]]/Tableau145[[#This Row],[TOTAL CONSO]],"")</f>
        <v>9.6136763691155119E-2</v>
      </c>
    </row>
    <row r="9" spans="1:8" x14ac:dyDescent="0.35">
      <c r="A9" s="16" t="s">
        <v>33</v>
      </c>
      <c r="B9" s="16" t="s">
        <v>44</v>
      </c>
      <c r="C9" s="14">
        <v>124160.68000000001</v>
      </c>
      <c r="D9" s="20">
        <v>1245861</v>
      </c>
      <c r="E9" s="27">
        <f>IFERROR(Tableau145[[#This Row],[TOTAL TTC]]/Tableau145[[#This Row],[TOTAL CONSO]],"")</f>
        <v>9.9658533335580779E-2</v>
      </c>
    </row>
    <row r="10" spans="1:8" x14ac:dyDescent="0.35">
      <c r="A10" s="16" t="s">
        <v>33</v>
      </c>
      <c r="B10" s="16" t="s">
        <v>45</v>
      </c>
      <c r="C10" s="14">
        <v>92203.164999999994</v>
      </c>
      <c r="D10" s="20">
        <v>894598</v>
      </c>
      <c r="E10" s="27">
        <f>IFERROR(Tableau145[[#This Row],[TOTAL TTC]]/Tableau145[[#This Row],[TOTAL CONSO]],"")</f>
        <v>0.10306658968609364</v>
      </c>
    </row>
    <row r="11" spans="1:8" x14ac:dyDescent="0.35">
      <c r="A11" s="16" t="s">
        <v>33</v>
      </c>
      <c r="B11" s="16" t="s">
        <v>38</v>
      </c>
      <c r="C11" s="14">
        <v>34655.546000000002</v>
      </c>
      <c r="D11" s="20">
        <v>153113</v>
      </c>
      <c r="E11" s="27">
        <f>IFERROR(Tableau145[[#This Row],[TOTAL TTC]]/Tableau145[[#This Row],[TOTAL CONSO]],"")</f>
        <v>0.2263396707007243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5E1A04A38214EADAC4D2CC0A44B9D" ma:contentTypeVersion="9" ma:contentTypeDescription="Crée un document." ma:contentTypeScope="" ma:versionID="409aeadd37df8a186d426b12330f7fb9">
  <xsd:schema xmlns:xsd="http://www.w3.org/2001/XMLSchema" xmlns:xs="http://www.w3.org/2001/XMLSchema" xmlns:p="http://schemas.microsoft.com/office/2006/metadata/properties" xmlns:ns2="623da527-e7a1-4c41-96b0-e44e54a1e966" targetNamespace="http://schemas.microsoft.com/office/2006/metadata/properties" ma:root="true" ma:fieldsID="07c882c6af5daa5f42caffdf00676c5c" ns2:_="">
    <xsd:import namespace="623da527-e7a1-4c41-96b0-e44e54a1e9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3da527-e7a1-4c41-96b0-e44e54a1e9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08afeeb-5255-45f7-939a-44f71d0deb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3da527-e7a1-4c41-96b0-e44e54a1e9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CD6A81C-585A-4CEF-99DD-CF12F89440A7}"/>
</file>

<file path=customXml/itemProps2.xml><?xml version="1.0" encoding="utf-8"?>
<ds:datastoreItem xmlns:ds="http://schemas.openxmlformats.org/officeDocument/2006/customXml" ds:itemID="{2E2C0885-5832-4F3A-B643-D0F595134547}"/>
</file>

<file path=customXml/itemProps3.xml><?xml version="1.0" encoding="utf-8"?>
<ds:datastoreItem xmlns:ds="http://schemas.openxmlformats.org/officeDocument/2006/customXml" ds:itemID="{4BE4C79F-910B-4733-A209-0621C16633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Compte global 2024</vt:lpstr>
      <vt:lpstr>Compte global 2023</vt:lpstr>
      <vt:lpstr>Compte global 2022</vt:lpstr>
      <vt:lpstr>Compte global 2021</vt:lpstr>
      <vt:lpstr>Compte global 2020</vt:lpstr>
    </vt:vector>
  </TitlesOfParts>
  <Company>Plaine Commune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FRAYSSINET</dc:creator>
  <cp:lastModifiedBy>Nathalie FRAYSSINET</cp:lastModifiedBy>
  <dcterms:created xsi:type="dcterms:W3CDTF">2022-08-11T08:23:43Z</dcterms:created>
  <dcterms:modified xsi:type="dcterms:W3CDTF">2024-10-02T10:13:10Z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0x0101009305E1A04A38214EADAC4D2CC0A44B9D</vt:lpwstr>
  </property>
</Properties>
</file>